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9" activeTab="9"/>
  </bookViews>
  <sheets>
    <sheet name="Z1" sheetId="1" r:id="rId1"/>
    <sheet name="z1a" sheetId="2" r:id="rId2"/>
    <sheet name="Z 2" sheetId="3" r:id="rId3"/>
    <sheet name="Z 3 " sheetId="4" r:id="rId4"/>
    <sheet name="Z 4 " sheetId="5" r:id="rId5"/>
    <sheet name="Z 5 " sheetId="6" r:id="rId6"/>
    <sheet name="z6" sheetId="7" r:id="rId7"/>
    <sheet name="z10" sheetId="8" r:id="rId8"/>
    <sheet name="z15" sheetId="9" r:id="rId9"/>
    <sheet name="z16" sheetId="10" r:id="rId10"/>
  </sheets>
  <definedNames>
    <definedName name="_xlnm.Print_Area" localSheetId="2">'Z 2'!$A$1:$P$477</definedName>
    <definedName name="_xlnm.Print_Area" localSheetId="3">'Z 3 '!$A$1:$G$148</definedName>
    <definedName name="_xlnm.Print_Area" localSheetId="5">'Z 5 '!$A$1:$F$141</definedName>
    <definedName name="_xlnm.Print_Area" localSheetId="0">'Z1'!$A$1:$U$182</definedName>
    <definedName name="_xlnm.Print_Area" localSheetId="7">'z10'!$A$1:$E$40</definedName>
    <definedName name="_xlnm.Print_Titles" localSheetId="2">'Z 2'!$4:$8</definedName>
  </definedNames>
  <calcPr fullCalcOnLoad="1"/>
</workbook>
</file>

<file path=xl/sharedStrings.xml><?xml version="1.0" encoding="utf-8"?>
<sst xmlns="http://schemas.openxmlformats.org/spreadsheetml/2006/main" count="1925" uniqueCount="731">
  <si>
    <t xml:space="preserve">Plan 2006 </t>
  </si>
  <si>
    <t>Wykonanie za I kwartał 2006 roku</t>
  </si>
  <si>
    <t>Wykonanie innych dotacji udzielonych w I kwartale  2006 roku</t>
  </si>
  <si>
    <t>Poniesione nakłady w I kwartale 2006 roku (7+8+9+10+11)</t>
  </si>
  <si>
    <t xml:space="preserve">Wykonanie wydatków inwestycyjnych powiatu w I kwartale 2006 oraz planowane wydatki  na wieloletnie programy inwestycyjne w latach 2006 - 2008                                                                                              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</si>
  <si>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</si>
  <si>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</si>
  <si>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</si>
  <si>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</si>
  <si>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</si>
  <si>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</si>
  <si>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</si>
  <si>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</si>
  <si>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</si>
  <si>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</si>
  <si>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</si>
  <si>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</si>
  <si>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</si>
  <si>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</si>
  <si>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</si>
  <si>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</si>
  <si>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</si>
  <si>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</si>
  <si>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</si>
  <si>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</si>
  <si>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</si>
  <si>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</si>
  <si>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</si>
  <si>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</si>
  <si>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</si>
  <si>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</si>
  <si>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</si>
  <si>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</si>
  <si>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</si>
  <si>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</si>
  <si>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</si>
  <si>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</si>
  <si>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</si>
  <si>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</si>
  <si>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</si>
  <si>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</si>
  <si>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</si>
  <si>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</si>
  <si>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</si>
  <si>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</si>
  <si>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</si>
  <si>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</si>
  <si>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</si>
  <si>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</si>
  <si>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</si>
  <si>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</si>
  <si>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</si>
  <si>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</si>
  <si>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</si>
  <si>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</si>
  <si>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</si>
  <si>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</si>
  <si>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</si>
  <si>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</si>
  <si>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</si>
  <si>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</si>
  <si>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</si>
  <si>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</si>
  <si>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</si>
  <si>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</si>
  <si>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</si>
  <si>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</si>
  <si>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</si>
  <si>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</si>
  <si>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</si>
  <si>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</si>
  <si>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</si>
  <si>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</si>
  <si>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</si>
  <si>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</si>
  <si>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</si>
  <si>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</si>
  <si>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</si>
  <si>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</si>
  <si>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</si>
  <si>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</si>
  <si>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</si>
  <si>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</si>
  <si>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</si>
  <si>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</si>
  <si>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</si>
  <si>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</si>
  <si>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</si>
  <si>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</si>
  <si>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</si>
  <si>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</si>
  <si>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</si>
  <si>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</si>
  <si>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</si>
  <si>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</si>
  <si>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</si>
  <si>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</si>
  <si>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</si>
  <si>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</si>
  <si>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</si>
  <si>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</si>
  <si>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</si>
  <si>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</si>
  <si>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</si>
  <si>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</si>
  <si>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</si>
  <si>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</si>
  <si>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</si>
  <si>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</si>
  <si>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</si>
  <si>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</si>
  <si>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</si>
  <si>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</si>
  <si>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</si>
  <si>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</si>
  <si>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</si>
  <si>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</si>
  <si>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</si>
  <si>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 xml:space="preserve"> Plan 2006 r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</si>
  <si>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</si>
  <si>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</si>
  <si>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</si>
  <si>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</si>
  <si>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</si>
  <si>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</si>
  <si>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</si>
  <si>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</si>
  <si>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</si>
  <si>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</si>
  <si>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</si>
  <si>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</si>
  <si>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</si>
  <si>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</si>
  <si>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</si>
  <si>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</si>
  <si>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</si>
  <si>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</si>
  <si>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</si>
  <si>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</si>
  <si>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</si>
  <si>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</si>
  <si>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</si>
  <si>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</si>
  <si>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</si>
  <si>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</si>
  <si>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</si>
  <si>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</si>
  <si>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</si>
  <si>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</si>
  <si>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</si>
  <si>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</si>
  <si>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</si>
  <si>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</si>
  <si>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</si>
  <si>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</si>
  <si>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</si>
  <si>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</si>
  <si>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</si>
  <si>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</si>
  <si>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</si>
  <si>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</si>
  <si>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</si>
  <si>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</si>
  <si>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</si>
  <si>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</si>
  <si>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</si>
  <si>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</si>
  <si>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</si>
  <si>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</si>
  <si>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</si>
  <si>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</si>
  <si>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</si>
  <si>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</si>
  <si>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</si>
  <si>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</si>
  <si>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</si>
  <si>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</si>
  <si>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</si>
  <si>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</si>
  <si>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</si>
  <si>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</si>
  <si>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</si>
  <si>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</si>
  <si>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</si>
  <si>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</si>
  <si>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</si>
  <si>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</si>
  <si>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</si>
  <si>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</si>
  <si>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</si>
  <si>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</si>
  <si>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</si>
  <si>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</si>
  <si>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</si>
  <si>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</si>
  <si>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</si>
  <si>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</si>
  <si>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</si>
  <si>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</si>
  <si>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</si>
  <si>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</si>
  <si>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</si>
  <si>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</si>
  <si>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Struktura procentowa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</si>
  <si>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</si>
  <si>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</si>
  <si>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</si>
  <si>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</si>
  <si>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</si>
  <si>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</si>
  <si>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</si>
  <si>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</si>
  <si>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</si>
  <si>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</si>
  <si>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</si>
  <si>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</si>
  <si>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</si>
  <si>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</si>
  <si>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</si>
  <si>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</si>
  <si>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</si>
  <si>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B. Ogółem subwencje i dotacje (V i VI)</t>
  </si>
  <si>
    <t>DOCHODY OGÓŁEM ( A+B )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</si>
  <si>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</si>
  <si>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</si>
  <si>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</si>
  <si>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</si>
  <si>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</si>
  <si>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</si>
  <si>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</si>
  <si>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</si>
  <si>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</si>
  <si>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</si>
  <si>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</si>
  <si>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</si>
  <si>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</si>
  <si>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</si>
  <si>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Wyposażenia bazy dydaktycznej            i rehabilitacyjnej  (lata 2005-2006)</t>
  </si>
  <si>
    <t>Likwidacja barier architektonicznych        (lata 2005-2006)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</si>
  <si>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</si>
  <si>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</si>
  <si>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</si>
  <si>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</si>
  <si>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</si>
  <si>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</si>
  <si>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</si>
  <si>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</si>
  <si>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</si>
  <si>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</si>
  <si>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</si>
  <si>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</si>
  <si>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</si>
  <si>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</si>
  <si>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</si>
  <si>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</si>
  <si>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</si>
  <si>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</si>
  <si>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</si>
  <si>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</si>
  <si>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</si>
  <si>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</si>
  <si>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</si>
  <si>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</si>
  <si>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</si>
  <si>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</si>
  <si>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</si>
  <si>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</si>
  <si>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</si>
  <si>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</si>
  <si>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</si>
  <si>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</si>
  <si>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</si>
  <si>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</si>
  <si>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</si>
  <si>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</si>
  <si>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</si>
  <si>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</si>
  <si>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</si>
  <si>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</si>
  <si>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</si>
  <si>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</si>
  <si>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</si>
  <si>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</si>
  <si>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</si>
  <si>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</si>
  <si>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</si>
  <si>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</si>
  <si>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</si>
  <si>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</si>
  <si>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</si>
  <si>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</si>
  <si>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</si>
  <si>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</si>
  <si>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</si>
  <si>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</si>
  <si>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</si>
  <si>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</si>
  <si>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</si>
  <si>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</si>
  <si>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</si>
  <si>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</si>
  <si>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</si>
  <si>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6.</t>
  </si>
  <si>
    <t>7.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</si>
  <si>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</si>
  <si>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</si>
  <si>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</si>
  <si>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</si>
  <si>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</si>
  <si>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</si>
  <si>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</si>
  <si>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</si>
  <si>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</si>
  <si>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</si>
  <si>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</si>
  <si>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</si>
  <si>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</si>
  <si>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</si>
  <si>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</si>
  <si>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</si>
  <si>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</si>
  <si>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Ośrodek Szkolno-Wychowawczy dla Dzieci Głuchych w Olecku</t>
  </si>
  <si>
    <t>Zespół Szkół Licealnych    i Zawodowych w Olecku</t>
  </si>
  <si>
    <t>Starostwo Powiatowe        w Olecku</t>
  </si>
  <si>
    <t>Powiatowy Zarząd Dróg       w Olecku</t>
  </si>
  <si>
    <t>Powiatowy Zarząd Dróg      w Olecku</t>
  </si>
  <si>
    <t>Remont chodnika na ul Sembrzyckiego    z jednej strony od ulicy Armii Krajowej</t>
  </si>
  <si>
    <t>Poniesione nakłady do końca 2005 roku</t>
  </si>
  <si>
    <t>dotacje cel. przek. gminie na zad. bieżące</t>
  </si>
  <si>
    <t>Dotacje celowe przek.gminie</t>
  </si>
  <si>
    <t>Dotacje celowe przek.powiatowi</t>
  </si>
  <si>
    <t>wydatki inwestycyjne (§§ 6050,6052,6059,6060)</t>
  </si>
  <si>
    <t>Dot. cel.przekazane powiatowi</t>
  </si>
  <si>
    <t>Stypendia różne</t>
  </si>
  <si>
    <t>6260</t>
  </si>
  <si>
    <t>2440</t>
  </si>
  <si>
    <t>Wydatki osobowe nie zaliczne do wynagrodzeń</t>
  </si>
  <si>
    <t>SP ZOZ w Olecku "w likwidacji"</t>
  </si>
  <si>
    <t>OGÓŁEM KWOTA DOTACJI</t>
  </si>
  <si>
    <t>250.000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</si>
  <si>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</si>
  <si>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</si>
  <si>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</si>
  <si>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</si>
  <si>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</si>
  <si>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</si>
  <si>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</si>
  <si>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</si>
  <si>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</si>
  <si>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</si>
  <si>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</si>
  <si>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</si>
  <si>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</si>
  <si>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</si>
  <si>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</si>
  <si>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</si>
  <si>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</si>
  <si>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</si>
  <si>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</si>
  <si>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</si>
  <si>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</si>
  <si>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</si>
  <si>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</si>
  <si>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</si>
  <si>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</si>
  <si>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</si>
  <si>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</si>
  <si>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</si>
  <si>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</si>
  <si>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</si>
  <si>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drogi publiczne powiatowe</t>
  </si>
  <si>
    <t>dochody z najmu i dzierżawy składników majątkowych</t>
  </si>
  <si>
    <t>wpływy z usług</t>
  </si>
  <si>
    <t>Wpływy z różnych odochodów</t>
  </si>
  <si>
    <t>097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</si>
  <si>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</si>
  <si>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</si>
  <si>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</si>
  <si>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</si>
  <si>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</si>
  <si>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</si>
  <si>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</si>
  <si>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</si>
  <si>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</si>
  <si>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</si>
  <si>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</si>
  <si>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</si>
  <si>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</si>
  <si>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</si>
  <si>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</si>
  <si>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</si>
  <si>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</si>
  <si>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</si>
  <si>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</si>
  <si>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</si>
  <si>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</si>
  <si>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</si>
  <si>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</si>
  <si>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</si>
  <si>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</si>
  <si>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c)</t>
  </si>
  <si>
    <t>Ochrona zdrowia</t>
  </si>
  <si>
    <t>d)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</si>
  <si>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</si>
  <si>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</si>
  <si>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</si>
  <si>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</si>
  <si>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</si>
  <si>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</si>
  <si>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 xml:space="preserve">    1. Dotacje celowe na zadania własne powiatu § 2130, § 6430</t>
  </si>
  <si>
    <t>Łączne nakłady finansowe (6+7+12+13)</t>
  </si>
  <si>
    <t>Spłaty pożyczek otrzymanych na finansowanie zadań realizowanych z udziałem środków pochodzących z budżetu UE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</si>
  <si>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</si>
  <si>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</si>
  <si>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</si>
  <si>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</si>
  <si>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Zakup i montaż platformy do przewozu osób niepełnosprawnych ( rok 2006)</t>
  </si>
  <si>
    <t>Powiatowy Urząd Pracy w Olecku</t>
  </si>
  <si>
    <t>Zakup kserokopiarki i centrali telefonicznej (rok 2006)</t>
  </si>
  <si>
    <t>Remont i adaptacja pomieszczeń na bibliotekę pedagodiczną (rok 2006)</t>
  </si>
  <si>
    <t>Środki wymienione w art..3 ust.1pkt 2 i 2a u.f.p</t>
  </si>
  <si>
    <t>Zakup programów komputerowych                      (rok 2006)</t>
  </si>
  <si>
    <t>DPS w Kowalach Oleckich</t>
  </si>
  <si>
    <t>zadakia właske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</si>
  <si>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</si>
  <si>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</si>
  <si>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</si>
  <si>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</si>
  <si>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</si>
  <si>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</si>
  <si>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</si>
  <si>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</si>
  <si>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 xml:space="preserve">    2. Dotacje celowe na zadania z zakr.administr.rządowej wykonyw.przez powiat oraz na realiz.zadań służb, inspekcji i straży(§ § 2110, 6410)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</si>
  <si>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</si>
  <si>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</si>
  <si>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</si>
  <si>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</si>
  <si>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 xml:space="preserve">    3. Dotacje celowe na zadania (umowy i porozumienia) z jst § § 2310,2320,2330,6610,6620,6630)</t>
  </si>
  <si>
    <t xml:space="preserve">    5. Środki pozyskane z innych źródeł                                         (§ § 2460,6290,6291,6298,6430,6439)</t>
  </si>
  <si>
    <t xml:space="preserve">    4. Dotacje uzyskane z funduszy celowych (§§ 2440,6260)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</si>
  <si>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</si>
  <si>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</si>
  <si>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</si>
  <si>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</si>
  <si>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</si>
  <si>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</si>
  <si>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</si>
  <si>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</si>
  <si>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</si>
  <si>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</si>
  <si>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</si>
  <si>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</si>
  <si>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</si>
  <si>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</si>
  <si>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</si>
  <si>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</si>
  <si>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</si>
  <si>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</si>
  <si>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</si>
  <si>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</si>
  <si>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</si>
  <si>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</si>
  <si>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</si>
  <si>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</si>
  <si>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</si>
  <si>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</si>
  <si>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</si>
  <si>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Nagrody i wyd.nie zal.do wynagr.</t>
  </si>
  <si>
    <t>Dotacje cel. na zad.zlec.jedn.nie zal. do sektora finansów publicznych</t>
  </si>
  <si>
    <t>Zakup leków i mater.medycznych</t>
  </si>
  <si>
    <t>4170</t>
  </si>
  <si>
    <t>dotacje celowe z zakresu administracji rządowej</t>
  </si>
  <si>
    <t>część oświatowa subwencji ogólnej dla jst</t>
  </si>
  <si>
    <t>pomoc materialna dla studentów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</si>
  <si>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</si>
  <si>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</si>
  <si>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</si>
  <si>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</si>
  <si>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</si>
  <si>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</si>
  <si>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</si>
  <si>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</si>
  <si>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</si>
  <si>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</si>
  <si>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</si>
  <si>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</si>
  <si>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</si>
  <si>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</si>
  <si>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</si>
  <si>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</si>
  <si>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</si>
  <si>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</si>
  <si>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</si>
  <si>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</si>
  <si>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</si>
  <si>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</si>
  <si>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</si>
  <si>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</si>
  <si>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</si>
  <si>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</si>
  <si>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</si>
  <si>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</si>
  <si>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</si>
  <si>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</si>
  <si>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</si>
  <si>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</si>
  <si>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</si>
  <si>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</si>
  <si>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</si>
  <si>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</si>
  <si>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>Nazwa jednostki</t>
  </si>
  <si>
    <t>rozdział</t>
  </si>
  <si>
    <t>kwota dotacji</t>
  </si>
  <si>
    <t>Centrum "Omega"</t>
  </si>
  <si>
    <t>Studium Policealne Hotelarstwa (zaoczne dla dorosłych)</t>
  </si>
  <si>
    <t>RAZEM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</si>
  <si>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</si>
  <si>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</si>
  <si>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</si>
  <si>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</si>
  <si>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</si>
  <si>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</si>
  <si>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</si>
  <si>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</si>
  <si>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Równiważniki i ekwiwalenty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</si>
  <si>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</si>
  <si>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</si>
  <si>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</si>
  <si>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</si>
  <si>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</si>
  <si>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</si>
  <si>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</si>
  <si>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</si>
  <si>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</si>
  <si>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</si>
  <si>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</si>
  <si>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</si>
  <si>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</si>
  <si>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</si>
  <si>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</si>
  <si>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</si>
  <si>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</si>
  <si>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</si>
  <si>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</si>
  <si>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</si>
  <si>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</si>
  <si>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</si>
  <si>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</si>
  <si>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</si>
  <si>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</si>
  <si>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>4580</t>
  </si>
  <si>
    <t>kary i odszkod.na rzecz os.fiz.</t>
  </si>
  <si>
    <t>wpływy z różnych doch.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</si>
  <si>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</si>
  <si>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</si>
  <si>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</si>
  <si>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</si>
  <si>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</si>
  <si>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</si>
  <si>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Ośrodki informacji turystycznej</t>
  </si>
  <si>
    <t>Przewodniczący Rady Powiatu: Wacław Sapieha</t>
  </si>
  <si>
    <t xml:space="preserve"> - dotacja z samorządu wojewódzkiego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</si>
  <si>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</si>
  <si>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</si>
  <si>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</si>
  <si>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</si>
  <si>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</si>
  <si>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</si>
  <si>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</si>
  <si>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</si>
  <si>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</si>
  <si>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</si>
  <si>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</si>
  <si>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</si>
  <si>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</si>
  <si>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</si>
  <si>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</si>
  <si>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</si>
  <si>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</si>
  <si>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</si>
  <si>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</si>
  <si>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</si>
  <si>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2007r.</t>
  </si>
  <si>
    <t>zwiększenia /+/</t>
  </si>
  <si>
    <t>zmniejszenia /-/</t>
  </si>
  <si>
    <t>3240</t>
  </si>
  <si>
    <t>dot. podmiot. z budż. dla SP ZOZ</t>
  </si>
  <si>
    <t xml:space="preserve">    dotacje (§ § 2310, 2320,2330, 2540,  2560, 2610,2820,2830, 2950)</t>
  </si>
  <si>
    <t>Samorząd województwa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</si>
  <si>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</si>
  <si>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</si>
  <si>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</si>
  <si>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</si>
  <si>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</si>
  <si>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</si>
  <si>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</si>
  <si>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</si>
  <si>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</si>
  <si>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</si>
  <si>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</si>
  <si>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</si>
  <si>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</si>
  <si>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</si>
  <si>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</si>
  <si>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</si>
  <si>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</si>
  <si>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</si>
  <si>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</si>
  <si>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</si>
  <si>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</si>
  <si>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</si>
  <si>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</si>
  <si>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</si>
  <si>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</si>
  <si>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</si>
  <si>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</si>
  <si>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</si>
  <si>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</si>
  <si>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</si>
  <si>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</si>
  <si>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</si>
  <si>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</si>
  <si>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</si>
  <si>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</si>
  <si>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</si>
  <si>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</si>
  <si>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</si>
  <si>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</si>
  <si>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</si>
  <si>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</si>
  <si>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</si>
  <si>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</si>
  <si>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</si>
  <si>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</si>
  <si>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</si>
  <si>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</si>
  <si>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</si>
  <si>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</si>
  <si>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</si>
  <si>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</si>
  <si>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</si>
  <si>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</si>
  <si>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</si>
  <si>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</si>
  <si>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</si>
  <si>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</si>
  <si>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</si>
  <si>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</si>
  <si>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</si>
  <si>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</si>
  <si>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</si>
  <si>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</si>
  <si>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</si>
  <si>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</si>
  <si>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</si>
  <si>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</si>
  <si>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</si>
  <si>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</si>
  <si>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</si>
  <si>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</si>
  <si>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</si>
  <si>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</si>
  <si>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</si>
  <si>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</si>
  <si>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</si>
  <si>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</si>
  <si>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</si>
  <si>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</si>
  <si>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</si>
  <si>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</si>
  <si>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</si>
  <si>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</si>
  <si>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</si>
  <si>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</si>
  <si>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</si>
  <si>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</si>
  <si>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</si>
  <si>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</si>
  <si>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</si>
  <si>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</si>
  <si>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</si>
  <si>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</si>
  <si>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</si>
  <si>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</si>
  <si>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</si>
  <si>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</si>
  <si>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</si>
  <si>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</si>
  <si>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</si>
  <si>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</si>
  <si>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</si>
  <si>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</si>
  <si>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</si>
  <si>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</si>
  <si>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</si>
  <si>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</si>
  <si>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</si>
  <si>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</si>
  <si>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</si>
  <si>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</si>
  <si>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Dotacje celowe otrzymane z samorządu województwa na inwestycje i zakupy inwestycyjne realizowane na podstawie z j.s.t.</t>
  </si>
  <si>
    <t xml:space="preserve">Komendy Powiatowe Państwowej Straży Pożarnej </t>
  </si>
  <si>
    <t>Zakup zestawów ratowniczych</t>
  </si>
  <si>
    <t>Komenda Powiatowa Państwowej Straży Pożarnej w Olecku</t>
  </si>
  <si>
    <t>Procent wykonania</t>
  </si>
  <si>
    <t>Wykonanie za I kwartał 2006</t>
  </si>
  <si>
    <t>WYKONANIE PLANU DOCHODÓW BUDŻETU POWIATU ZA I KWARTAŁ 2006 ROK</t>
  </si>
  <si>
    <t>Struktura procentowa wykonania</t>
  </si>
  <si>
    <t>Wykonanie za     I kwartał 2006</t>
  </si>
  <si>
    <t>Wykonanie dochodów i wydatków związanych z realizacją zadań z zakresu administracji rządowej zleconych powiatowi i innych zadań zleconych ustawami za I kwartał 2006 roku</t>
  </si>
  <si>
    <t>Wykonanie dochodów  i wydatków związanych z realizacją zadań wspólnych realizowanych w drodze umów (porozumień) z jednostkami samorządu terytorialnego w I kwartale 2006 roku</t>
  </si>
  <si>
    <t>WYKONANIE DOTACJI Z BUDŻETU PAŃSTWA NA REALIZACJĘ ZADAŃ WŁASNYCH POWIATU      W I KWARTALE  2006 ROKU</t>
  </si>
  <si>
    <t>WYKONANIE  DOCHODÓW BUDŻETU POWIATU ZA I KWARTAŁ 2006 ROKU</t>
  </si>
  <si>
    <t>WYKONANIE WYDATKÓW BUDŻETU POWIATU ZA I KWARTAŁ 2006 ROKU</t>
  </si>
  <si>
    <t xml:space="preserve">Dochody przekazane do budżetu państwa                            </t>
  </si>
  <si>
    <t>Powiatowy InspektoraT Nadzoru Budowlanego</t>
  </si>
  <si>
    <t>Urzędy Wojewódzkie</t>
  </si>
  <si>
    <t>Komenda Powiatowa Państwowej Straży Pożarnej</t>
  </si>
  <si>
    <t>Powiat ełcki</t>
  </si>
  <si>
    <t xml:space="preserve">Wykonanie za                              I kwartał 2006 roku  </t>
  </si>
  <si>
    <t>Wykonanie dotacji dla niepublicznych przedszkoli, szkół i placówek oświatowo - wychowawczych w I kwartale 2006 roku</t>
  </si>
  <si>
    <t>Załącznik Nr 1 do Uchwały Zarządu Powiatu Nr  227/06 z dnia 28 kwietnia 2006r.</t>
  </si>
  <si>
    <r>
      <t>Załącznik Nr 1a do Uchwały Zarządu Powiatu  Nr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227/06</t>
    </r>
    <r>
      <rPr>
        <sz val="10"/>
        <rFont val="Arial CE"/>
        <family val="0"/>
      </rPr>
      <t xml:space="preserve"> z dnia 28 kwietnia 2006r.</t>
    </r>
  </si>
  <si>
    <t>Załącznik Nr 2 do Uchwały Zarządu Powiatu w Olecku                                                Nr 227/06  z dnia 28 kwietnia 2006 roku</t>
  </si>
  <si>
    <t xml:space="preserve">Załącznik nr 3 do Uchwały Zarządu Powiatu                                             w Olecku Nr 227/06  z dnia 28 kwietnia  2006r. </t>
  </si>
  <si>
    <r>
      <t>Załącznik nr 4 do Uchwały Zarządu Powiatu w Olecku Nr</t>
    </r>
    <r>
      <rPr>
        <sz val="8"/>
        <rFont val="Arial CE"/>
        <family val="0"/>
      </rPr>
      <t xml:space="preserve"> 227/06</t>
    </r>
    <r>
      <rPr>
        <sz val="8"/>
        <rFont val="Arial CE"/>
        <family val="2"/>
      </rPr>
      <t xml:space="preserve"> z dn. 28 kwietnia  2006r.</t>
    </r>
  </si>
  <si>
    <r>
      <t>Załącznik Nr 5 do Uchwały Zarządu Powiatu Nr</t>
    </r>
    <r>
      <rPr>
        <sz val="8"/>
        <rFont val="Arial CE"/>
        <family val="0"/>
      </rPr>
      <t xml:space="preserve"> 227/06</t>
    </r>
    <r>
      <rPr>
        <sz val="8"/>
        <rFont val="Arial CE"/>
        <family val="2"/>
      </rPr>
      <t xml:space="preserve"> z dnia 28 kwietnia 2006r.</t>
    </r>
  </si>
  <si>
    <r>
      <t>Załącznik nr 6 do Uchwały Zarządu Powiatu w Olecku Nr</t>
    </r>
    <r>
      <rPr>
        <b/>
        <sz val="7"/>
        <rFont val="Arial CE"/>
        <family val="2"/>
      </rPr>
      <t xml:space="preserve">  227/06</t>
    </r>
    <r>
      <rPr>
        <b/>
        <sz val="7"/>
        <rFont val="Arial CE"/>
        <family val="0"/>
      </rPr>
      <t xml:space="preserve"> z dnia 28 kwietnia 2006r.</t>
    </r>
  </si>
  <si>
    <r>
      <t>Załącznik Nr 7do Uchwały Zarządu Powiatu w Olecku Nr</t>
    </r>
    <r>
      <rPr>
        <b/>
        <sz val="7"/>
        <rFont val="Arial CE"/>
        <family val="2"/>
      </rPr>
      <t xml:space="preserve"> 227/06</t>
    </r>
    <r>
      <rPr>
        <sz val="7"/>
        <rFont val="Arial CE"/>
        <family val="2"/>
      </rPr>
      <t xml:space="preserve"> z dnia 28.04. 2006 roku</t>
    </r>
  </si>
  <si>
    <r>
      <t>Załącznik nr 8 do Uchwały Zarządu Powiatu Nr</t>
    </r>
    <r>
      <rPr>
        <sz val="10"/>
        <rFont val="Arial CE"/>
        <family val="0"/>
      </rPr>
      <t xml:space="preserve"> 227/06     </t>
    </r>
    <r>
      <rPr>
        <sz val="10"/>
        <rFont val="Arial CE"/>
        <family val="2"/>
      </rPr>
      <t xml:space="preserve">                                                    z dnia 28 kwietnia 2006r.</t>
    </r>
  </si>
  <si>
    <r>
      <t>Załącznik nr 9 do Uchwały Zarządu Powiatu             Nr</t>
    </r>
    <r>
      <rPr>
        <sz val="8"/>
        <rFont val="Arial CE"/>
        <family val="0"/>
      </rPr>
      <t xml:space="preserve"> 227/06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z dnia 28 kwietnia  2006r.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</si>
</sst>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u val="single"/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49" fontId="0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1" fillId="0" borderId="24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10" fontId="0" fillId="0" borderId="5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4" xfId="0" applyFont="1" applyBorder="1" applyAlignment="1">
      <alignment horizontal="right" wrapText="1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39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/>
    </xf>
    <xf numFmtId="10" fontId="4" fillId="5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12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165" fontId="4" fillId="0" borderId="40" xfId="0" applyNumberFormat="1" applyFont="1" applyBorder="1" applyAlignment="1">
      <alignment/>
    </xf>
    <xf numFmtId="0" fontId="1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49" fontId="6" fillId="7" borderId="1" xfId="0" applyNumberFormat="1" applyFont="1" applyFill="1" applyBorder="1" applyAlignment="1">
      <alignment wrapText="1"/>
    </xf>
    <xf numFmtId="0" fontId="11" fillId="0" borderId="8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/>
    </xf>
    <xf numFmtId="0" fontId="7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165" fontId="0" fillId="6" borderId="1" xfId="0" applyNumberForma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  <xf numFmtId="165" fontId="4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0" fontId="4" fillId="6" borderId="1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0" fillId="6" borderId="1" xfId="0" applyNumberForma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/>
    </xf>
    <xf numFmtId="10" fontId="4" fillId="8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41" fontId="15" fillId="0" borderId="8" xfId="0" applyNumberFormat="1" applyFont="1" applyBorder="1" applyAlignment="1">
      <alignment horizontal="center"/>
    </xf>
    <xf numFmtId="41" fontId="15" fillId="0" borderId="1" xfId="0" applyNumberFormat="1" applyFont="1" applyBorder="1" applyAlignment="1">
      <alignment horizontal="center" wrapText="1"/>
    </xf>
    <xf numFmtId="4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1" fontId="15" fillId="0" borderId="8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41" fontId="15" fillId="0" borderId="26" xfId="0" applyNumberFormat="1" applyFont="1" applyBorder="1" applyAlignment="1">
      <alignment horizontal="center"/>
    </xf>
    <xf numFmtId="41" fontId="15" fillId="0" borderId="2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4" fillId="6" borderId="16" xfId="0" applyFont="1" applyFill="1" applyBorder="1" applyAlignment="1">
      <alignment horizontal="right"/>
    </xf>
    <xf numFmtId="164" fontId="0" fillId="6" borderId="1" xfId="0" applyNumberFormat="1" applyFont="1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4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1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8" borderId="12" xfId="0" applyFill="1" applyBorder="1" applyAlignment="1">
      <alignment horizontal="right"/>
    </xf>
    <xf numFmtId="0" fontId="1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165" fontId="7" fillId="8" borderId="10" xfId="0" applyNumberFormat="1" applyFont="1" applyFill="1" applyBorder="1" applyAlignment="1">
      <alignment/>
    </xf>
    <xf numFmtId="164" fontId="7" fillId="8" borderId="10" xfId="0" applyNumberFormat="1" applyFont="1" applyFill="1" applyBorder="1" applyAlignment="1">
      <alignment/>
    </xf>
    <xf numFmtId="2" fontId="4" fillId="8" borderId="10" xfId="0" applyNumberFormat="1" applyFont="1" applyFill="1" applyBorder="1" applyAlignment="1">
      <alignment/>
    </xf>
    <xf numFmtId="10" fontId="4" fillId="8" borderId="10" xfId="0" applyNumberFormat="1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8" borderId="10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7" xfId="0" applyFont="1" applyBorder="1" applyAlignment="1">
      <alignment horizontal="right"/>
    </xf>
    <xf numFmtId="0" fontId="11" fillId="0" borderId="2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5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5" xfId="0" applyFill="1" applyBorder="1" applyAlignment="1">
      <alignment/>
    </xf>
    <xf numFmtId="0" fontId="0" fillId="9" borderId="1" xfId="0" applyFill="1" applyBorder="1" applyAlignment="1">
      <alignment/>
    </xf>
    <xf numFmtId="41" fontId="14" fillId="0" borderId="14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0" fillId="0" borderId="42" xfId="0" applyFont="1" applyBorder="1" applyAlignment="1" applyProtection="1">
      <alignment horizontal="center"/>
      <protection/>
    </xf>
    <xf numFmtId="0" fontId="4" fillId="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4" fillId="6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4" fillId="0" borderId="24" xfId="0" applyNumberFormat="1" applyFont="1" applyBorder="1" applyAlignment="1">
      <alignment/>
    </xf>
    <xf numFmtId="0" fontId="0" fillId="6" borderId="42" xfId="0" applyNumberFormat="1" applyFont="1" applyFill="1" applyBorder="1" applyAlignment="1">
      <alignment/>
    </xf>
    <xf numFmtId="0" fontId="4" fillId="0" borderId="43" xfId="0" applyFont="1" applyBorder="1" applyAlignment="1" applyProtection="1">
      <alignment horizontal="center"/>
      <protection/>
    </xf>
    <xf numFmtId="10" fontId="4" fillId="6" borderId="43" xfId="0" applyNumberFormat="1" applyFont="1" applyFill="1" applyBorder="1" applyAlignment="1">
      <alignment/>
    </xf>
    <xf numFmtId="0" fontId="16" fillId="0" borderId="0" xfId="0" applyFont="1" applyAlignment="1">
      <alignment/>
    </xf>
    <xf numFmtId="10" fontId="0" fillId="2" borderId="43" xfId="0" applyNumberFormat="1" applyFont="1" applyFill="1" applyBorder="1" applyAlignment="1">
      <alignment/>
    </xf>
    <xf numFmtId="0" fontId="0" fillId="2" borderId="42" xfId="0" applyNumberFormat="1" applyFont="1" applyFill="1" applyBorder="1" applyAlignment="1">
      <alignment/>
    </xf>
    <xf numFmtId="0" fontId="4" fillId="2" borderId="42" xfId="0" applyNumberFormat="1" applyFont="1" applyFill="1" applyBorder="1" applyAlignment="1">
      <alignment/>
    </xf>
    <xf numFmtId="0" fontId="0" fillId="2" borderId="44" xfId="0" applyNumberFormat="1" applyFont="1" applyFill="1" applyBorder="1" applyAlignment="1">
      <alignment/>
    </xf>
    <xf numFmtId="0" fontId="4" fillId="2" borderId="45" xfId="0" applyNumberFormat="1" applyFont="1" applyFill="1" applyBorder="1" applyAlignment="1">
      <alignment/>
    </xf>
    <xf numFmtId="0" fontId="0" fillId="2" borderId="46" xfId="0" applyNumberFormat="1" applyFont="1" applyFill="1" applyBorder="1" applyAlignment="1">
      <alignment/>
    </xf>
    <xf numFmtId="0" fontId="4" fillId="8" borderId="13" xfId="0" applyNumberFormat="1" applyFont="1" applyFill="1" applyBorder="1" applyAlignment="1">
      <alignment/>
    </xf>
    <xf numFmtId="10" fontId="0" fillId="2" borderId="39" xfId="0" applyNumberFormat="1" applyFont="1" applyFill="1" applyBorder="1" applyAlignment="1">
      <alignment/>
    </xf>
    <xf numFmtId="10" fontId="4" fillId="8" borderId="14" xfId="0" applyNumberFormat="1" applyFont="1" applyFill="1" applyBorder="1" applyAlignment="1">
      <alignment/>
    </xf>
    <xf numFmtId="0" fontId="0" fillId="0" borderId="9" xfId="0" applyNumberFormat="1" applyBorder="1" applyAlignment="1">
      <alignment/>
    </xf>
    <xf numFmtId="0" fontId="0" fillId="0" borderId="28" xfId="0" applyNumberFormat="1" applyBorder="1" applyAlignment="1">
      <alignment/>
    </xf>
    <xf numFmtId="10" fontId="0" fillId="2" borderId="36" xfId="0" applyNumberFormat="1" applyFont="1" applyFill="1" applyBorder="1" applyAlignment="1">
      <alignment/>
    </xf>
    <xf numFmtId="10" fontId="0" fillId="2" borderId="35" xfId="0" applyNumberFormat="1" applyFont="1" applyFill="1" applyBorder="1" applyAlignment="1">
      <alignment/>
    </xf>
    <xf numFmtId="10" fontId="0" fillId="2" borderId="37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8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4" borderId="5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10" fontId="4" fillId="10" borderId="1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17" xfId="0" applyFont="1" applyBorder="1" applyAlignment="1">
      <alignment/>
    </xf>
    <xf numFmtId="165" fontId="4" fillId="0" borderId="43" xfId="0" applyNumberFormat="1" applyFont="1" applyBorder="1" applyAlignment="1">
      <alignment/>
    </xf>
    <xf numFmtId="0" fontId="11" fillId="0" borderId="33" xfId="0" applyFont="1" applyBorder="1" applyAlignment="1">
      <alignment/>
    </xf>
    <xf numFmtId="165" fontId="11" fillId="0" borderId="43" xfId="0" applyNumberFormat="1" applyFont="1" applyBorder="1" applyAlignment="1">
      <alignment/>
    </xf>
    <xf numFmtId="165" fontId="11" fillId="0" borderId="39" xfId="0" applyNumberFormat="1" applyFont="1" applyBorder="1" applyAlignment="1">
      <alignment/>
    </xf>
    <xf numFmtId="0" fontId="4" fillId="0" borderId="33" xfId="0" applyFont="1" applyBorder="1" applyAlignment="1">
      <alignment/>
    </xf>
    <xf numFmtId="165" fontId="4" fillId="0" borderId="50" xfId="0" applyNumberFormat="1" applyFont="1" applyBorder="1" applyAlignment="1">
      <alignment/>
    </xf>
    <xf numFmtId="0" fontId="11" fillId="0" borderId="17" xfId="0" applyFont="1" applyBorder="1" applyAlignment="1">
      <alignment/>
    </xf>
    <xf numFmtId="165" fontId="9" fillId="0" borderId="43" xfId="0" applyNumberFormat="1" applyFont="1" applyBorder="1" applyAlignment="1">
      <alignment/>
    </xf>
    <xf numFmtId="0" fontId="11" fillId="0" borderId="15" xfId="0" applyFont="1" applyBorder="1" applyAlignment="1">
      <alignment/>
    </xf>
    <xf numFmtId="165" fontId="11" fillId="0" borderId="51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0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4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wrapText="1"/>
      <protection/>
    </xf>
    <xf numFmtId="0" fontId="0" fillId="0" borderId="41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28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49" fontId="0" fillId="0" borderId="24" xfId="0" applyNumberFormat="1" applyBorder="1" applyAlignment="1">
      <alignment horizontal="left" wrapText="1"/>
    </xf>
    <xf numFmtId="49" fontId="0" fillId="0" borderId="28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2" borderId="3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1" fillId="9" borderId="27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left"/>
    </xf>
    <xf numFmtId="0" fontId="11" fillId="9" borderId="24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0" fontId="9" fillId="2" borderId="5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28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wrapText="1"/>
    </xf>
    <xf numFmtId="0" fontId="4" fillId="0" borderId="5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8"/>
  <sheetViews>
    <sheetView workbookViewId="0" topLeftCell="B1">
      <selection activeCell="X4" sqref="X4"/>
    </sheetView>
  </sheetViews>
  <sheetFormatPr defaultColWidth="9.00390625" defaultRowHeight="12.75"/>
  <cols>
    <col min="1" max="1" width="4.375" style="83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15.125" style="0" customWidth="1"/>
    <col min="20" max="20" width="14.00390625" style="0" customWidth="1"/>
    <col min="21" max="21" width="12.375" style="0" customWidth="1"/>
    <col min="22" max="22" width="12.875" style="0" customWidth="1"/>
  </cols>
  <sheetData>
    <row r="1" spans="1:22" s="172" customFormat="1" ht="15.75" customHeight="1">
      <c r="A1" s="181"/>
      <c r="C1" s="467" t="s">
        <v>721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</row>
    <row r="2" spans="1:22" s="172" customFormat="1" ht="12.75" customHeight="1">
      <c r="A2" s="181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</row>
    <row r="3" spans="1:22" s="172" customFormat="1" ht="23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22" s="252" customFormat="1" ht="24" customHeight="1">
      <c r="A4" s="253" t="s">
        <v>712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</row>
    <row r="5" spans="1:22" s="172" customFormat="1" ht="8.25" customHeight="1" thickBo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</row>
    <row r="6" spans="1:22" s="172" customFormat="1" ht="13.5" customHeight="1">
      <c r="A6" s="448" t="s">
        <v>255</v>
      </c>
      <c r="B6" s="450" t="s">
        <v>591</v>
      </c>
      <c r="C6" s="450" t="s">
        <v>191</v>
      </c>
      <c r="D6" s="450"/>
      <c r="E6" s="450"/>
      <c r="F6" s="285"/>
      <c r="G6" s="285"/>
      <c r="H6" s="285"/>
      <c r="I6" s="285"/>
      <c r="J6" s="284"/>
      <c r="K6" s="286"/>
      <c r="L6" s="286"/>
      <c r="M6" s="450" t="s">
        <v>258</v>
      </c>
      <c r="N6" s="452" t="s">
        <v>463</v>
      </c>
      <c r="O6" s="452"/>
      <c r="P6" s="453" t="s">
        <v>496</v>
      </c>
      <c r="Q6" s="454" t="s">
        <v>583</v>
      </c>
      <c r="R6" s="454" t="s">
        <v>584</v>
      </c>
      <c r="S6" s="453" t="s">
        <v>277</v>
      </c>
      <c r="T6" s="461" t="s">
        <v>705</v>
      </c>
      <c r="U6" s="464" t="s">
        <v>704</v>
      </c>
      <c r="V6" s="456"/>
    </row>
    <row r="7" spans="1:23" s="172" customFormat="1" ht="18.75" customHeight="1">
      <c r="A7" s="449"/>
      <c r="B7" s="451"/>
      <c r="C7" s="451"/>
      <c r="D7" s="451"/>
      <c r="E7" s="451"/>
      <c r="F7" s="459" t="s">
        <v>353</v>
      </c>
      <c r="G7" s="460" t="s">
        <v>596</v>
      </c>
      <c r="H7" s="460" t="s">
        <v>354</v>
      </c>
      <c r="I7" s="175" t="s">
        <v>355</v>
      </c>
      <c r="J7" s="173"/>
      <c r="K7" s="460" t="s">
        <v>356</v>
      </c>
      <c r="L7" s="460" t="s">
        <v>357</v>
      </c>
      <c r="M7" s="451"/>
      <c r="N7" s="460" t="s">
        <v>461</v>
      </c>
      <c r="O7" s="460" t="s">
        <v>462</v>
      </c>
      <c r="P7" s="460"/>
      <c r="Q7" s="455"/>
      <c r="R7" s="455"/>
      <c r="S7" s="460"/>
      <c r="T7" s="462"/>
      <c r="U7" s="465"/>
      <c r="V7" s="457"/>
      <c r="W7" s="328"/>
    </row>
    <row r="8" spans="1:23" s="172" customFormat="1" ht="7.5" customHeight="1">
      <c r="A8" s="449"/>
      <c r="B8" s="451"/>
      <c r="C8" s="451"/>
      <c r="D8" s="451"/>
      <c r="E8" s="451"/>
      <c r="F8" s="459"/>
      <c r="G8" s="460"/>
      <c r="H8" s="460"/>
      <c r="I8" s="460" t="s">
        <v>358</v>
      </c>
      <c r="J8" s="176"/>
      <c r="K8" s="460"/>
      <c r="L8" s="460"/>
      <c r="M8" s="451"/>
      <c r="N8" s="460"/>
      <c r="O8" s="460"/>
      <c r="P8" s="460"/>
      <c r="Q8" s="455"/>
      <c r="R8" s="455"/>
      <c r="S8" s="460"/>
      <c r="T8" s="462"/>
      <c r="U8" s="465"/>
      <c r="V8" s="457"/>
      <c r="W8" s="328"/>
    </row>
    <row r="9" spans="1:22" s="328" customFormat="1" ht="19.5" customHeight="1">
      <c r="A9" s="449"/>
      <c r="B9" s="173" t="s">
        <v>359</v>
      </c>
      <c r="C9" s="173" t="s">
        <v>360</v>
      </c>
      <c r="D9" s="177" t="s">
        <v>196</v>
      </c>
      <c r="E9" s="173" t="s">
        <v>593</v>
      </c>
      <c r="F9" s="459"/>
      <c r="G9" s="460"/>
      <c r="H9" s="460"/>
      <c r="I9" s="460"/>
      <c r="J9" s="178"/>
      <c r="K9" s="460"/>
      <c r="L9" s="460"/>
      <c r="M9" s="451"/>
      <c r="N9" s="460"/>
      <c r="O9" s="460"/>
      <c r="P9" s="460"/>
      <c r="Q9" s="455"/>
      <c r="R9" s="455"/>
      <c r="S9" s="460"/>
      <c r="T9" s="447"/>
      <c r="U9" s="466"/>
      <c r="V9" s="458"/>
    </row>
    <row r="10" spans="1:22" s="328" customFormat="1" ht="12.75">
      <c r="A10" s="287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6</v>
      </c>
      <c r="H10" s="288">
        <v>8</v>
      </c>
      <c r="I10" s="288">
        <v>9</v>
      </c>
      <c r="J10" s="174"/>
      <c r="K10" s="288">
        <v>7</v>
      </c>
      <c r="L10" s="288">
        <v>8</v>
      </c>
      <c r="M10" s="288">
        <v>6</v>
      </c>
      <c r="N10" s="288">
        <v>7</v>
      </c>
      <c r="O10" s="288">
        <v>8</v>
      </c>
      <c r="P10" s="288">
        <v>6</v>
      </c>
      <c r="Q10" s="288">
        <v>7</v>
      </c>
      <c r="R10" s="288">
        <v>8</v>
      </c>
      <c r="S10" s="288">
        <v>7</v>
      </c>
      <c r="T10" s="338">
        <v>8</v>
      </c>
      <c r="U10" s="382">
        <v>9</v>
      </c>
      <c r="V10" s="373"/>
    </row>
    <row r="11" spans="1:27" ht="17.25" customHeight="1">
      <c r="A11" s="289" t="s">
        <v>267</v>
      </c>
      <c r="B11" s="243" t="s">
        <v>361</v>
      </c>
      <c r="C11" s="255" t="s">
        <v>602</v>
      </c>
      <c r="D11" s="263"/>
      <c r="E11" s="263"/>
      <c r="F11" s="259" t="e">
        <f>F12+#REF!</f>
        <v>#REF!</v>
      </c>
      <c r="G11" s="290" t="e">
        <f>G12+#REF!</f>
        <v>#REF!</v>
      </c>
      <c r="H11" s="291" t="e">
        <f>IF(F11&gt;0,G11/F11*100,"")</f>
        <v>#REF!</v>
      </c>
      <c r="I11" s="269" t="e">
        <f>F11/F75</f>
        <v>#REF!</v>
      </c>
      <c r="J11" s="266"/>
      <c r="K11" s="266" t="e">
        <f>K12+#REF!</f>
        <v>#REF!</v>
      </c>
      <c r="L11" s="266" t="e">
        <f>L12+#REF!</f>
        <v>#REF!</v>
      </c>
      <c r="M11" s="243" t="e">
        <f>M12+#REF!+#REF!</f>
        <v>#REF!</v>
      </c>
      <c r="N11" s="243" t="e">
        <f>N12+#REF!+#REF!</f>
        <v>#REF!</v>
      </c>
      <c r="O11" s="243" t="e">
        <f>O12+#REF!+#REF!</f>
        <v>#REF!</v>
      </c>
      <c r="P11" s="243" t="e">
        <f>P12+#REF!+#REF!</f>
        <v>#REF!</v>
      </c>
      <c r="Q11" s="243" t="e">
        <f>Q12+#REF!+#REF!</f>
        <v>#REF!</v>
      </c>
      <c r="R11" s="243" t="e">
        <f>R12+#REF!+#REF!</f>
        <v>#REF!</v>
      </c>
      <c r="S11" s="243">
        <f>S12+S14</f>
        <v>30400</v>
      </c>
      <c r="T11" s="243">
        <f>T12+T14</f>
        <v>10813</v>
      </c>
      <c r="U11" s="383">
        <f>T11/S11*100%</f>
        <v>0.3556907894736842</v>
      </c>
      <c r="V11" s="374"/>
      <c r="W11" s="37"/>
      <c r="X11" s="37"/>
      <c r="Y11" s="37"/>
      <c r="Z11" s="37"/>
      <c r="AA11" s="37"/>
    </row>
    <row r="12" spans="1:22" ht="27.75" customHeight="1">
      <c r="A12" s="292" t="s">
        <v>362</v>
      </c>
      <c r="B12" s="293" t="s">
        <v>202</v>
      </c>
      <c r="C12" s="31"/>
      <c r="D12" s="16" t="s">
        <v>643</v>
      </c>
      <c r="E12" s="7"/>
      <c r="F12" s="4">
        <v>0</v>
      </c>
      <c r="G12" s="90">
        <v>37400</v>
      </c>
      <c r="H12" s="87">
        <f>IF(F12&gt;0,G12/F12*100,"")</f>
      </c>
      <c r="I12" s="5">
        <f>F12/F75</f>
        <v>0</v>
      </c>
      <c r="J12" s="7"/>
      <c r="K12" s="7">
        <v>0</v>
      </c>
      <c r="L12" s="7">
        <v>0</v>
      </c>
      <c r="M12" s="7">
        <v>44000</v>
      </c>
      <c r="N12" s="7">
        <v>0</v>
      </c>
      <c r="O12" s="7">
        <v>0</v>
      </c>
      <c r="P12" s="7">
        <v>45000</v>
      </c>
      <c r="Q12" s="7">
        <v>0</v>
      </c>
      <c r="R12" s="7">
        <v>0</v>
      </c>
      <c r="S12" s="7">
        <f>S13</f>
        <v>30000</v>
      </c>
      <c r="T12" s="7">
        <f>T13</f>
        <v>10733</v>
      </c>
      <c r="U12" s="385">
        <f aca="true" t="shared" si="0" ref="U12:U77">T12/S12*100%</f>
        <v>0.3577666666666667</v>
      </c>
      <c r="V12" s="375"/>
    </row>
    <row r="13" spans="1:22" ht="15" customHeight="1">
      <c r="A13" s="292"/>
      <c r="B13" s="27"/>
      <c r="C13" s="16"/>
      <c r="D13" s="16"/>
      <c r="E13" s="31">
        <v>2110</v>
      </c>
      <c r="F13" s="4"/>
      <c r="G13" s="90"/>
      <c r="H13" s="87"/>
      <c r="I13" s="5"/>
      <c r="J13" s="7"/>
      <c r="K13" s="7"/>
      <c r="L13" s="7"/>
      <c r="M13" s="7"/>
      <c r="N13" s="7"/>
      <c r="O13" s="7"/>
      <c r="P13" s="7"/>
      <c r="Q13" s="7"/>
      <c r="R13" s="7"/>
      <c r="S13" s="7">
        <v>30000</v>
      </c>
      <c r="T13" s="123">
        <v>10733</v>
      </c>
      <c r="U13" s="385">
        <f t="shared" si="0"/>
        <v>0.3577666666666667</v>
      </c>
      <c r="V13" s="376"/>
    </row>
    <row r="14" spans="1:22" s="85" customFormat="1" ht="17.25" customHeight="1">
      <c r="A14" s="292" t="s">
        <v>366</v>
      </c>
      <c r="B14" s="27" t="s">
        <v>692</v>
      </c>
      <c r="C14" s="29"/>
      <c r="D14" s="29" t="s">
        <v>367</v>
      </c>
      <c r="E14" s="29"/>
      <c r="F14" s="82">
        <f>F15</f>
        <v>400</v>
      </c>
      <c r="G14" s="90">
        <f>G15</f>
        <v>400</v>
      </c>
      <c r="H14" s="91">
        <f>IF(F14&gt;0,G14/F14*100,"")</f>
        <v>100</v>
      </c>
      <c r="I14" s="92" t="e">
        <f>F14/F171</f>
        <v>#REF!</v>
      </c>
      <c r="J14" s="18"/>
      <c r="K14" s="18">
        <f aca="true" t="shared" si="1" ref="K14:T14">K15</f>
        <v>0</v>
      </c>
      <c r="L14" s="18">
        <f t="shared" si="1"/>
        <v>0</v>
      </c>
      <c r="M14" s="18">
        <f t="shared" si="1"/>
        <v>300</v>
      </c>
      <c r="N14" s="18">
        <f t="shared" si="1"/>
        <v>0</v>
      </c>
      <c r="O14" s="18">
        <f t="shared" si="1"/>
        <v>0</v>
      </c>
      <c r="P14" s="167">
        <f t="shared" si="1"/>
        <v>600</v>
      </c>
      <c r="Q14" s="167">
        <f t="shared" si="1"/>
        <v>0</v>
      </c>
      <c r="R14" s="167">
        <f t="shared" si="1"/>
        <v>0</v>
      </c>
      <c r="S14" s="167">
        <f t="shared" si="1"/>
        <v>400</v>
      </c>
      <c r="T14" s="167">
        <f t="shared" si="1"/>
        <v>80</v>
      </c>
      <c r="U14" s="385">
        <f t="shared" si="0"/>
        <v>0.2</v>
      </c>
      <c r="V14" s="377"/>
    </row>
    <row r="15" spans="1:22" ht="16.5" customHeight="1">
      <c r="A15" s="127"/>
      <c r="B15" s="7" t="s">
        <v>368</v>
      </c>
      <c r="C15" s="16"/>
      <c r="D15" s="16"/>
      <c r="E15" s="16" t="s">
        <v>498</v>
      </c>
      <c r="F15" s="4">
        <v>400</v>
      </c>
      <c r="G15" s="89">
        <v>400</v>
      </c>
      <c r="H15" s="87">
        <f>IF(F15&gt;0,G15/F15*100,"")</f>
        <v>100</v>
      </c>
      <c r="I15" s="5" t="e">
        <f>F15/F171</f>
        <v>#REF!</v>
      </c>
      <c r="J15" s="7"/>
      <c r="K15" s="7">
        <v>0</v>
      </c>
      <c r="L15" s="7">
        <v>0</v>
      </c>
      <c r="M15" s="7">
        <v>300</v>
      </c>
      <c r="N15" s="7">
        <v>0</v>
      </c>
      <c r="O15" s="7">
        <v>0</v>
      </c>
      <c r="P15" s="7">
        <v>600</v>
      </c>
      <c r="Q15" s="7">
        <v>0</v>
      </c>
      <c r="R15" s="7">
        <v>0</v>
      </c>
      <c r="S15" s="7">
        <v>400</v>
      </c>
      <c r="T15" s="7">
        <v>80</v>
      </c>
      <c r="U15" s="385">
        <f t="shared" si="0"/>
        <v>0.2</v>
      </c>
      <c r="V15" s="375"/>
    </row>
    <row r="16" spans="1:22" s="179" customFormat="1" ht="15.75" customHeight="1">
      <c r="A16" s="289" t="s">
        <v>268</v>
      </c>
      <c r="B16" s="254" t="s">
        <v>405</v>
      </c>
      <c r="C16" s="255" t="s">
        <v>644</v>
      </c>
      <c r="D16" s="255"/>
      <c r="E16" s="255"/>
      <c r="F16" s="243"/>
      <c r="G16" s="243"/>
      <c r="H16" s="256"/>
      <c r="I16" s="256"/>
      <c r="J16" s="243"/>
      <c r="K16" s="243"/>
      <c r="L16" s="243"/>
      <c r="M16" s="243"/>
      <c r="N16" s="243"/>
      <c r="O16" s="243"/>
      <c r="P16" s="267"/>
      <c r="Q16" s="267"/>
      <c r="R16" s="267"/>
      <c r="S16" s="267">
        <f>S17</f>
        <v>141159</v>
      </c>
      <c r="T16" s="267">
        <f>T17</f>
        <v>34262</v>
      </c>
      <c r="U16" s="383">
        <f t="shared" si="0"/>
        <v>0.2427192031680587</v>
      </c>
      <c r="V16" s="378"/>
    </row>
    <row r="17" spans="1:22" s="301" customFormat="1" ht="15.75" customHeight="1">
      <c r="A17" s="295" t="s">
        <v>362</v>
      </c>
      <c r="B17" s="296" t="s">
        <v>493</v>
      </c>
      <c r="C17" s="297"/>
      <c r="D17" s="297" t="s">
        <v>494</v>
      </c>
      <c r="E17" s="297"/>
      <c r="F17" s="298"/>
      <c r="G17" s="298"/>
      <c r="H17" s="299"/>
      <c r="I17" s="299"/>
      <c r="J17" s="298"/>
      <c r="K17" s="298"/>
      <c r="L17" s="298"/>
      <c r="M17" s="298"/>
      <c r="N17" s="298"/>
      <c r="O17" s="298"/>
      <c r="P17" s="300"/>
      <c r="Q17" s="300"/>
      <c r="R17" s="300"/>
      <c r="S17" s="300">
        <f>S18</f>
        <v>141159</v>
      </c>
      <c r="T17" s="300">
        <f>T18</f>
        <v>34262</v>
      </c>
      <c r="U17" s="385">
        <f t="shared" si="0"/>
        <v>0.2427192031680587</v>
      </c>
      <c r="V17" s="379"/>
    </row>
    <row r="18" spans="1:22" s="179" customFormat="1" ht="24" customHeight="1">
      <c r="A18" s="302"/>
      <c r="B18" s="244" t="s">
        <v>220</v>
      </c>
      <c r="C18" s="303"/>
      <c r="D18" s="303"/>
      <c r="E18" s="297" t="s">
        <v>505</v>
      </c>
      <c r="F18" s="180"/>
      <c r="G18" s="180"/>
      <c r="H18" s="304"/>
      <c r="I18" s="304"/>
      <c r="J18" s="180"/>
      <c r="K18" s="180"/>
      <c r="L18" s="180"/>
      <c r="M18" s="180"/>
      <c r="N18" s="180"/>
      <c r="O18" s="180"/>
      <c r="P18" s="305"/>
      <c r="Q18" s="305"/>
      <c r="R18" s="305"/>
      <c r="S18" s="300">
        <v>141159</v>
      </c>
      <c r="T18" s="401">
        <v>34262</v>
      </c>
      <c r="U18" s="385">
        <f t="shared" si="0"/>
        <v>0.2427192031680587</v>
      </c>
      <c r="V18" s="376"/>
    </row>
    <row r="19" spans="1:22" ht="18" customHeight="1">
      <c r="A19" s="289" t="s">
        <v>270</v>
      </c>
      <c r="B19" s="243" t="s">
        <v>369</v>
      </c>
      <c r="C19" s="255" t="s">
        <v>648</v>
      </c>
      <c r="D19" s="255"/>
      <c r="E19" s="255"/>
      <c r="F19" s="262">
        <f>F20</f>
        <v>42000</v>
      </c>
      <c r="G19" s="260">
        <f>G20</f>
        <v>32000</v>
      </c>
      <c r="H19" s="256">
        <f>IF(F19&gt;0,G19/F19*100,"")</f>
        <v>76.19047619047619</v>
      </c>
      <c r="I19" s="261" t="e">
        <f>F19/F171</f>
        <v>#REF!</v>
      </c>
      <c r="J19" s="243"/>
      <c r="K19" s="243">
        <f aca="true" t="shared" si="2" ref="K19:T19">K20</f>
        <v>0</v>
      </c>
      <c r="L19" s="243">
        <f t="shared" si="2"/>
        <v>0</v>
      </c>
      <c r="M19" s="243">
        <f t="shared" si="2"/>
        <v>17000</v>
      </c>
      <c r="N19" s="243">
        <f t="shared" si="2"/>
        <v>0</v>
      </c>
      <c r="O19" s="243">
        <f t="shared" si="2"/>
        <v>0</v>
      </c>
      <c r="P19" s="267">
        <f t="shared" si="2"/>
        <v>5000</v>
      </c>
      <c r="Q19" s="267">
        <f t="shared" si="2"/>
        <v>0</v>
      </c>
      <c r="R19" s="267">
        <f t="shared" si="2"/>
        <v>0</v>
      </c>
      <c r="S19" s="267">
        <f t="shared" si="2"/>
        <v>2386460</v>
      </c>
      <c r="T19" s="267">
        <f t="shared" si="2"/>
        <v>1974269</v>
      </c>
      <c r="U19" s="383">
        <f t="shared" si="0"/>
        <v>0.8272793174827988</v>
      </c>
      <c r="V19" s="378"/>
    </row>
    <row r="20" spans="1:22" s="85" customFormat="1" ht="18.75" customHeight="1">
      <c r="A20" s="292" t="s">
        <v>362</v>
      </c>
      <c r="B20" s="18" t="s">
        <v>370</v>
      </c>
      <c r="C20" s="29"/>
      <c r="D20" s="29" t="s">
        <v>650</v>
      </c>
      <c r="E20" s="29"/>
      <c r="F20" s="82">
        <f>F23+F26+F27</f>
        <v>42000</v>
      </c>
      <c r="G20" s="90">
        <f>G23+G26+G27+G28</f>
        <v>32000</v>
      </c>
      <c r="H20" s="91">
        <f>IF(F20&gt;0,G20/F20*100,"")</f>
        <v>76.19047619047619</v>
      </c>
      <c r="I20" s="92" t="e">
        <f>F20/F171</f>
        <v>#REF!</v>
      </c>
      <c r="J20" s="18"/>
      <c r="K20" s="18">
        <f>K23+K26+K27+K28</f>
        <v>0</v>
      </c>
      <c r="L20" s="18">
        <f>L23+L26+L27+L28</f>
        <v>0</v>
      </c>
      <c r="M20" s="18">
        <f>M23+M26+M27+M28</f>
        <v>17000</v>
      </c>
      <c r="N20" s="18">
        <f>N23+N26+N27+N28</f>
        <v>0</v>
      </c>
      <c r="O20" s="18">
        <f>O23+O26+O27+O28</f>
        <v>0</v>
      </c>
      <c r="P20" s="167">
        <f>P23+P26+P27+P28+P22</f>
        <v>5000</v>
      </c>
      <c r="Q20" s="167">
        <f>Q23+Q26+Q27+Q28+Q22</f>
        <v>0</v>
      </c>
      <c r="R20" s="167">
        <f>R23+R26+R27+R28+R22</f>
        <v>0</v>
      </c>
      <c r="S20" s="167">
        <f>S21+S22+S23+S24+S25+S26+S29+S30+S31+S32</f>
        <v>2386460</v>
      </c>
      <c r="T20" s="167">
        <f>T21+T22+T23+T24+T25+T26+T29+T30+T31+T32</f>
        <v>1974269</v>
      </c>
      <c r="U20" s="385">
        <f t="shared" si="0"/>
        <v>0.8272793174827988</v>
      </c>
      <c r="V20" s="377"/>
    </row>
    <row r="21" spans="1:22" ht="24.75" customHeight="1">
      <c r="A21" s="127"/>
      <c r="B21" s="10" t="s">
        <v>276</v>
      </c>
      <c r="C21" s="25"/>
      <c r="D21" s="25"/>
      <c r="E21" s="29" t="s">
        <v>275</v>
      </c>
      <c r="F21" s="8"/>
      <c r="G21" s="88"/>
      <c r="H21" s="86"/>
      <c r="I21" s="9"/>
      <c r="J21" s="6"/>
      <c r="K21" s="6"/>
      <c r="L21" s="6"/>
      <c r="M21" s="6"/>
      <c r="N21" s="6"/>
      <c r="O21" s="6"/>
      <c r="P21" s="96"/>
      <c r="Q21" s="96"/>
      <c r="R21" s="96"/>
      <c r="S21" s="167">
        <v>0</v>
      </c>
      <c r="T21" s="340">
        <v>0</v>
      </c>
      <c r="U21" s="385">
        <v>0</v>
      </c>
      <c r="V21" s="376"/>
    </row>
    <row r="22" spans="1:22" ht="16.5" customHeight="1">
      <c r="A22" s="127"/>
      <c r="B22" s="7" t="s">
        <v>368</v>
      </c>
      <c r="C22" s="25"/>
      <c r="D22" s="25"/>
      <c r="E22" s="29" t="s">
        <v>498</v>
      </c>
      <c r="F22" s="82"/>
      <c r="G22" s="90"/>
      <c r="H22" s="91"/>
      <c r="I22" s="92"/>
      <c r="J22" s="18"/>
      <c r="K22" s="18"/>
      <c r="L22" s="18"/>
      <c r="M22" s="18"/>
      <c r="N22" s="18"/>
      <c r="O22" s="18"/>
      <c r="P22" s="167">
        <v>200</v>
      </c>
      <c r="Q22" s="167">
        <v>0</v>
      </c>
      <c r="R22" s="167">
        <v>0</v>
      </c>
      <c r="S22" s="7">
        <v>0</v>
      </c>
      <c r="T22" s="123">
        <v>0</v>
      </c>
      <c r="U22" s="385">
        <v>0</v>
      </c>
      <c r="V22" s="376"/>
    </row>
    <row r="23" spans="1:22" ht="24" customHeight="1">
      <c r="A23" s="127"/>
      <c r="B23" s="10" t="s">
        <v>371</v>
      </c>
      <c r="C23" s="16"/>
      <c r="D23" s="16"/>
      <c r="E23" s="16" t="s">
        <v>499</v>
      </c>
      <c r="F23" s="4">
        <v>17000</v>
      </c>
      <c r="G23" s="89">
        <v>18200</v>
      </c>
      <c r="H23" s="87">
        <f>IF(F23&gt;0,G23/F23*100,"")</f>
        <v>107.05882352941177</v>
      </c>
      <c r="I23" s="5" t="e">
        <f>F23/F171</f>
        <v>#REF!</v>
      </c>
      <c r="J23" s="7"/>
      <c r="K23" s="7">
        <v>0</v>
      </c>
      <c r="L23" s="7">
        <v>0</v>
      </c>
      <c r="M23" s="7">
        <v>1747</v>
      </c>
      <c r="N23" s="7">
        <v>0</v>
      </c>
      <c r="O23" s="7">
        <v>0</v>
      </c>
      <c r="P23" s="7">
        <v>2617</v>
      </c>
      <c r="Q23" s="7">
        <v>0</v>
      </c>
      <c r="R23" s="7">
        <v>0</v>
      </c>
      <c r="S23" s="7">
        <v>2700</v>
      </c>
      <c r="T23" s="123">
        <v>939</v>
      </c>
      <c r="U23" s="385">
        <f t="shared" si="0"/>
        <v>0.3477777777777778</v>
      </c>
      <c r="V23" s="376"/>
    </row>
    <row r="24" spans="1:22" ht="16.5" customHeight="1">
      <c r="A24" s="127"/>
      <c r="B24" s="27" t="s">
        <v>156</v>
      </c>
      <c r="C24" s="16"/>
      <c r="D24" s="16"/>
      <c r="E24" s="16" t="s">
        <v>155</v>
      </c>
      <c r="F24" s="4"/>
      <c r="G24" s="89"/>
      <c r="H24" s="87"/>
      <c r="I24" s="5"/>
      <c r="J24" s="7"/>
      <c r="K24" s="7"/>
      <c r="L24" s="7"/>
      <c r="M24" s="7"/>
      <c r="N24" s="7"/>
      <c r="O24" s="7"/>
      <c r="P24" s="7"/>
      <c r="Q24" s="7"/>
      <c r="R24" s="7"/>
      <c r="S24" s="7">
        <v>0</v>
      </c>
      <c r="T24" s="123">
        <v>5572</v>
      </c>
      <c r="U24" s="385">
        <v>0</v>
      </c>
      <c r="V24" s="376"/>
    </row>
    <row r="25" spans="1:22" ht="17.25" customHeight="1">
      <c r="A25" s="127"/>
      <c r="B25" s="10" t="s">
        <v>364</v>
      </c>
      <c r="C25" s="16"/>
      <c r="D25" s="16"/>
      <c r="E25" s="16" t="s">
        <v>497</v>
      </c>
      <c r="F25" s="4"/>
      <c r="G25" s="89"/>
      <c r="H25" s="87"/>
      <c r="I25" s="5"/>
      <c r="J25" s="7"/>
      <c r="K25" s="7"/>
      <c r="L25" s="7"/>
      <c r="M25" s="7"/>
      <c r="N25" s="7"/>
      <c r="O25" s="7"/>
      <c r="P25" s="7"/>
      <c r="Q25" s="7"/>
      <c r="R25" s="7"/>
      <c r="S25" s="7">
        <v>0</v>
      </c>
      <c r="T25" s="123">
        <v>54</v>
      </c>
      <c r="U25" s="385">
        <v>0</v>
      </c>
      <c r="V25" s="376"/>
    </row>
    <row r="26" spans="1:22" ht="18" customHeight="1">
      <c r="A26" s="127"/>
      <c r="B26" s="7" t="s">
        <v>390</v>
      </c>
      <c r="C26" s="16"/>
      <c r="D26" s="16"/>
      <c r="E26" s="16" t="s">
        <v>501</v>
      </c>
      <c r="F26" s="4">
        <v>18000</v>
      </c>
      <c r="G26" s="89">
        <v>9400</v>
      </c>
      <c r="H26" s="87">
        <f>IF(F26&gt;0,G26/F26*100,"")</f>
        <v>52.22222222222223</v>
      </c>
      <c r="I26" s="5" t="e">
        <f>F26/F171</f>
        <v>#REF!</v>
      </c>
      <c r="J26" s="7"/>
      <c r="K26" s="7">
        <v>0</v>
      </c>
      <c r="L26" s="7">
        <v>0</v>
      </c>
      <c r="M26" s="7">
        <v>7749</v>
      </c>
      <c r="N26" s="7">
        <v>0</v>
      </c>
      <c r="O26" s="7">
        <v>0</v>
      </c>
      <c r="P26" s="7">
        <v>1700</v>
      </c>
      <c r="Q26" s="7">
        <v>0</v>
      </c>
      <c r="R26" s="7">
        <v>0</v>
      </c>
      <c r="S26" s="7">
        <v>0</v>
      </c>
      <c r="T26" s="123">
        <v>0</v>
      </c>
      <c r="U26" s="385">
        <v>0</v>
      </c>
      <c r="V26" s="376"/>
    </row>
    <row r="27" spans="1:22" ht="0.75" customHeight="1" hidden="1">
      <c r="A27" s="127"/>
      <c r="B27" s="10" t="s">
        <v>364</v>
      </c>
      <c r="C27" s="16"/>
      <c r="D27" s="16"/>
      <c r="E27" s="16" t="s">
        <v>497</v>
      </c>
      <c r="F27" s="4">
        <v>7000</v>
      </c>
      <c r="G27" s="89">
        <v>4400</v>
      </c>
      <c r="H27" s="87">
        <f>IF(F27&gt;0,G27/F27*100,"")</f>
        <v>62.857142857142854</v>
      </c>
      <c r="I27" s="5" t="e">
        <f>F27/F171</f>
        <v>#REF!</v>
      </c>
      <c r="J27" s="7"/>
      <c r="K27" s="7">
        <v>0</v>
      </c>
      <c r="L27" s="7">
        <v>0</v>
      </c>
      <c r="M27" s="7">
        <v>200</v>
      </c>
      <c r="N27" s="7">
        <v>0</v>
      </c>
      <c r="O27" s="7">
        <v>0</v>
      </c>
      <c r="P27" s="7">
        <v>483</v>
      </c>
      <c r="Q27" s="7">
        <v>0</v>
      </c>
      <c r="R27" s="7">
        <v>0</v>
      </c>
      <c r="S27" s="7">
        <v>0</v>
      </c>
      <c r="T27" s="123"/>
      <c r="U27" s="385" t="e">
        <f t="shared" si="0"/>
        <v>#DIV/0!</v>
      </c>
      <c r="V27" s="376"/>
    </row>
    <row r="28" spans="1:22" ht="12.75" customHeight="1" hidden="1">
      <c r="A28" s="127"/>
      <c r="B28" s="10" t="s">
        <v>373</v>
      </c>
      <c r="C28" s="16"/>
      <c r="D28" s="16"/>
      <c r="E28" s="16" t="s">
        <v>374</v>
      </c>
      <c r="F28" s="4"/>
      <c r="G28" s="89">
        <v>0</v>
      </c>
      <c r="H28" s="87"/>
      <c r="I28" s="5"/>
      <c r="J28" s="7"/>
      <c r="K28" s="7">
        <v>0</v>
      </c>
      <c r="L28" s="7">
        <v>0</v>
      </c>
      <c r="M28" s="7">
        <v>7304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/>
      <c r="T28" s="123"/>
      <c r="U28" s="385" t="e">
        <f t="shared" si="0"/>
        <v>#DIV/0!</v>
      </c>
      <c r="V28" s="376"/>
    </row>
    <row r="29" spans="1:22" ht="24.75" customHeight="1">
      <c r="A29" s="292"/>
      <c r="B29" s="274" t="s">
        <v>554</v>
      </c>
      <c r="C29" s="29"/>
      <c r="D29" s="29"/>
      <c r="E29" s="29" t="s">
        <v>281</v>
      </c>
      <c r="F29" s="18"/>
      <c r="G29" s="18"/>
      <c r="H29" s="91"/>
      <c r="I29" s="91"/>
      <c r="J29" s="18"/>
      <c r="K29" s="18"/>
      <c r="L29" s="18"/>
      <c r="M29" s="18"/>
      <c r="N29" s="18"/>
      <c r="O29" s="18"/>
      <c r="P29" s="167"/>
      <c r="Q29" s="167"/>
      <c r="R29" s="167"/>
      <c r="S29" s="167">
        <v>1988005</v>
      </c>
      <c r="T29" s="340">
        <v>1911082</v>
      </c>
      <c r="U29" s="385">
        <f t="shared" si="0"/>
        <v>0.9613064353459876</v>
      </c>
      <c r="V29" s="376"/>
    </row>
    <row r="30" spans="1:22" ht="24" customHeight="1">
      <c r="A30" s="292"/>
      <c r="B30" s="274" t="s">
        <v>555</v>
      </c>
      <c r="C30" s="29"/>
      <c r="D30" s="29"/>
      <c r="E30" s="29" t="s">
        <v>487</v>
      </c>
      <c r="F30" s="18"/>
      <c r="G30" s="18"/>
      <c r="H30" s="91"/>
      <c r="I30" s="91"/>
      <c r="J30" s="18"/>
      <c r="K30" s="18"/>
      <c r="L30" s="18"/>
      <c r="M30" s="18"/>
      <c r="N30" s="18"/>
      <c r="O30" s="18"/>
      <c r="P30" s="167"/>
      <c r="Q30" s="167"/>
      <c r="R30" s="167"/>
      <c r="S30" s="167">
        <v>275755</v>
      </c>
      <c r="T30" s="340">
        <v>56622</v>
      </c>
      <c r="U30" s="385">
        <f t="shared" si="0"/>
        <v>0.20533444543163315</v>
      </c>
      <c r="V30" s="376"/>
    </row>
    <row r="31" spans="1:22" ht="25.5" customHeight="1">
      <c r="A31" s="294"/>
      <c r="B31" s="137" t="s">
        <v>434</v>
      </c>
      <c r="C31" s="31"/>
      <c r="D31" s="50"/>
      <c r="E31" s="20">
        <v>6610</v>
      </c>
      <c r="F31" s="8"/>
      <c r="G31" s="88"/>
      <c r="H31" s="86"/>
      <c r="I31" s="9"/>
      <c r="J31" s="6"/>
      <c r="K31" s="6"/>
      <c r="L31" s="6"/>
      <c r="M31" s="6"/>
      <c r="N31" s="6"/>
      <c r="O31" s="6"/>
      <c r="P31" s="7">
        <v>60000</v>
      </c>
      <c r="Q31" s="7">
        <v>0</v>
      </c>
      <c r="R31" s="7">
        <v>0</v>
      </c>
      <c r="S31" s="205">
        <v>50000</v>
      </c>
      <c r="T31" s="341">
        <v>0</v>
      </c>
      <c r="U31" s="385">
        <f t="shared" si="0"/>
        <v>0</v>
      </c>
      <c r="V31" s="376"/>
    </row>
    <row r="32" spans="1:22" ht="25.5" customHeight="1">
      <c r="A32" s="294"/>
      <c r="B32" s="137" t="s">
        <v>434</v>
      </c>
      <c r="C32" s="31"/>
      <c r="D32" s="50"/>
      <c r="E32" s="20">
        <v>6619</v>
      </c>
      <c r="F32" s="8"/>
      <c r="G32" s="88"/>
      <c r="H32" s="86"/>
      <c r="I32" s="9"/>
      <c r="J32" s="6"/>
      <c r="K32" s="6"/>
      <c r="L32" s="6"/>
      <c r="M32" s="6"/>
      <c r="N32" s="6"/>
      <c r="O32" s="6"/>
      <c r="P32" s="7"/>
      <c r="Q32" s="7"/>
      <c r="R32" s="7"/>
      <c r="S32" s="205">
        <v>70000</v>
      </c>
      <c r="T32" s="341">
        <v>0</v>
      </c>
      <c r="U32" s="385">
        <f t="shared" si="0"/>
        <v>0</v>
      </c>
      <c r="V32" s="376"/>
    </row>
    <row r="33" spans="1:22" ht="25.5">
      <c r="A33" s="289" t="s">
        <v>272</v>
      </c>
      <c r="B33" s="254" t="s">
        <v>375</v>
      </c>
      <c r="C33" s="255" t="s">
        <v>662</v>
      </c>
      <c r="D33" s="258"/>
      <c r="E33" s="258"/>
      <c r="F33" s="259">
        <f>F34</f>
        <v>576998</v>
      </c>
      <c r="G33" s="260">
        <f>G34</f>
        <v>906816</v>
      </c>
      <c r="H33" s="256">
        <f>IF(F33&gt;0,G33/F33*100,"")</f>
        <v>157.1610300209013</v>
      </c>
      <c r="I33" s="261" t="e">
        <f>F33/F171</f>
        <v>#REF!</v>
      </c>
      <c r="J33" s="243"/>
      <c r="K33" s="243">
        <f aca="true" t="shared" si="3" ref="K33:R33">K34</f>
        <v>0</v>
      </c>
      <c r="L33" s="243">
        <f t="shared" si="3"/>
        <v>200000</v>
      </c>
      <c r="M33" s="243" t="e">
        <f t="shared" si="3"/>
        <v>#REF!</v>
      </c>
      <c r="N33" s="243" t="e">
        <f t="shared" si="3"/>
        <v>#REF!</v>
      </c>
      <c r="O33" s="243" t="e">
        <f t="shared" si="3"/>
        <v>#REF!</v>
      </c>
      <c r="P33" s="267" t="e">
        <f t="shared" si="3"/>
        <v>#REF!</v>
      </c>
      <c r="Q33" s="267" t="e">
        <f t="shared" si="3"/>
        <v>#REF!</v>
      </c>
      <c r="R33" s="267" t="e">
        <f t="shared" si="3"/>
        <v>#REF!</v>
      </c>
      <c r="S33" s="267">
        <f>S34</f>
        <v>1513890</v>
      </c>
      <c r="T33" s="267">
        <f>T34</f>
        <v>157146</v>
      </c>
      <c r="U33" s="383">
        <f t="shared" si="0"/>
        <v>0.10380278619978994</v>
      </c>
      <c r="V33" s="378"/>
    </row>
    <row r="34" spans="1:22" ht="26.25" customHeight="1">
      <c r="A34" s="294" t="s">
        <v>362</v>
      </c>
      <c r="B34" s="3" t="s">
        <v>376</v>
      </c>
      <c r="C34" s="25"/>
      <c r="D34" s="25" t="s">
        <v>664</v>
      </c>
      <c r="E34" s="25"/>
      <c r="F34" s="8">
        <f>F37+F39</f>
        <v>576998</v>
      </c>
      <c r="G34" s="88">
        <f>G37+G39+G38</f>
        <v>906816</v>
      </c>
      <c r="H34" s="86">
        <f>IF(F34&gt;0,G34/F34*100,"")</f>
        <v>157.1610300209013</v>
      </c>
      <c r="I34" s="9" t="e">
        <f>F34/F171</f>
        <v>#REF!</v>
      </c>
      <c r="J34" s="6"/>
      <c r="K34" s="6">
        <f>K37+K39+K38</f>
        <v>0</v>
      </c>
      <c r="L34" s="6">
        <f>L37+L39+L38</f>
        <v>200000</v>
      </c>
      <c r="M34" s="6" t="e">
        <f>M37+M38+M39+#REF!+M36</f>
        <v>#REF!</v>
      </c>
      <c r="N34" s="6" t="e">
        <f>N37+N38+N39+#REF!+N36</f>
        <v>#REF!</v>
      </c>
      <c r="O34" s="6" t="e">
        <f>O37+O38+O39+#REF!+O36</f>
        <v>#REF!</v>
      </c>
      <c r="P34" s="96" t="e">
        <f>P37+P38+P39+#REF!+P36+P35</f>
        <v>#REF!</v>
      </c>
      <c r="Q34" s="96" t="e">
        <f>Q37+Q38+Q39+#REF!+Q36+Q35</f>
        <v>#REF!</v>
      </c>
      <c r="R34" s="96" t="e">
        <f>R37+R38+R39+#REF!+R36+R35</f>
        <v>#REF!</v>
      </c>
      <c r="S34" s="96">
        <f>S35+S36+S37+S38+S39+S40</f>
        <v>1513890</v>
      </c>
      <c r="T34" s="96">
        <f>T35+T36+T37+T38+T39+T40</f>
        <v>157146</v>
      </c>
      <c r="U34" s="385">
        <f t="shared" si="0"/>
        <v>0.10380278619978994</v>
      </c>
      <c r="V34" s="380"/>
    </row>
    <row r="35" spans="1:22" ht="14.25" customHeight="1">
      <c r="A35" s="294"/>
      <c r="B35" s="7" t="s">
        <v>368</v>
      </c>
      <c r="C35" s="25"/>
      <c r="D35" s="29"/>
      <c r="E35" s="29" t="s">
        <v>498</v>
      </c>
      <c r="F35" s="82"/>
      <c r="G35" s="90"/>
      <c r="H35" s="91"/>
      <c r="I35" s="92"/>
      <c r="J35" s="18"/>
      <c r="K35" s="18"/>
      <c r="L35" s="18"/>
      <c r="M35" s="18"/>
      <c r="N35" s="18"/>
      <c r="O35" s="18"/>
      <c r="P35" s="167">
        <v>26</v>
      </c>
      <c r="Q35" s="167">
        <v>0</v>
      </c>
      <c r="R35" s="167">
        <v>0</v>
      </c>
      <c r="S35" s="7">
        <v>26</v>
      </c>
      <c r="T35" s="123">
        <v>0</v>
      </c>
      <c r="U35" s="385">
        <f t="shared" si="0"/>
        <v>0</v>
      </c>
      <c r="V35" s="376"/>
    </row>
    <row r="36" spans="1:22" ht="26.25" customHeight="1">
      <c r="A36" s="292"/>
      <c r="B36" s="10" t="s">
        <v>371</v>
      </c>
      <c r="C36" s="29"/>
      <c r="D36" s="29"/>
      <c r="E36" s="29" t="s">
        <v>499</v>
      </c>
      <c r="F36" s="82"/>
      <c r="G36" s="90"/>
      <c r="H36" s="91"/>
      <c r="I36" s="92"/>
      <c r="J36" s="18"/>
      <c r="K36" s="18"/>
      <c r="L36" s="18"/>
      <c r="M36" s="18">
        <v>8213</v>
      </c>
      <c r="N36" s="18">
        <v>0</v>
      </c>
      <c r="O36" s="18">
        <v>0</v>
      </c>
      <c r="P36" s="7">
        <v>9201</v>
      </c>
      <c r="Q36" s="7">
        <v>0</v>
      </c>
      <c r="R36" s="7">
        <v>0</v>
      </c>
      <c r="S36" s="7">
        <v>5350</v>
      </c>
      <c r="T36" s="123">
        <v>1431</v>
      </c>
      <c r="U36" s="385">
        <f t="shared" si="0"/>
        <v>0.2674766355140187</v>
      </c>
      <c r="V36" s="376"/>
    </row>
    <row r="37" spans="1:22" ht="15.75" customHeight="1">
      <c r="A37" s="292"/>
      <c r="B37" s="27" t="s">
        <v>156</v>
      </c>
      <c r="C37" s="16"/>
      <c r="D37" s="16"/>
      <c r="E37" s="16" t="s">
        <v>155</v>
      </c>
      <c r="F37" s="4">
        <v>570998</v>
      </c>
      <c r="G37" s="89">
        <v>882016</v>
      </c>
      <c r="H37" s="87">
        <f>IF(F37&gt;0,G37/F37*100,"")</f>
        <v>154.46919253657632</v>
      </c>
      <c r="I37" s="5" t="e">
        <f>F37/F171</f>
        <v>#REF!</v>
      </c>
      <c r="J37" s="7"/>
      <c r="K37" s="7">
        <v>0</v>
      </c>
      <c r="L37" s="7">
        <v>200000</v>
      </c>
      <c r="M37" s="7">
        <v>547167</v>
      </c>
      <c r="N37" s="7">
        <v>0</v>
      </c>
      <c r="O37" s="7">
        <v>0</v>
      </c>
      <c r="P37" s="7">
        <v>425245</v>
      </c>
      <c r="Q37" s="7">
        <v>0</v>
      </c>
      <c r="R37" s="7">
        <v>0</v>
      </c>
      <c r="S37" s="7">
        <v>1409112</v>
      </c>
      <c r="T37" s="123">
        <v>126889</v>
      </c>
      <c r="U37" s="385">
        <f t="shared" si="0"/>
        <v>0.09004891023566615</v>
      </c>
      <c r="V37" s="376"/>
    </row>
    <row r="38" spans="1:22" ht="12.75" customHeight="1">
      <c r="A38" s="292"/>
      <c r="B38" s="27" t="s">
        <v>364</v>
      </c>
      <c r="C38" s="16"/>
      <c r="D38" s="16"/>
      <c r="E38" s="16" t="s">
        <v>497</v>
      </c>
      <c r="F38" s="4"/>
      <c r="G38" s="89">
        <v>7000</v>
      </c>
      <c r="H38" s="87"/>
      <c r="I38" s="5"/>
      <c r="J38" s="7"/>
      <c r="K38" s="7">
        <v>0</v>
      </c>
      <c r="L38" s="7">
        <v>0</v>
      </c>
      <c r="M38" s="7">
        <v>800</v>
      </c>
      <c r="N38" s="7">
        <v>0</v>
      </c>
      <c r="O38" s="7">
        <v>0</v>
      </c>
      <c r="P38" s="7">
        <v>4899</v>
      </c>
      <c r="Q38" s="7">
        <v>0</v>
      </c>
      <c r="R38" s="7">
        <v>0</v>
      </c>
      <c r="S38" s="7">
        <v>2750</v>
      </c>
      <c r="T38" s="123">
        <v>1963</v>
      </c>
      <c r="U38" s="385">
        <f t="shared" si="0"/>
        <v>0.7138181818181818</v>
      </c>
      <c r="V38" s="376"/>
    </row>
    <row r="39" spans="1:22" ht="14.25" customHeight="1">
      <c r="A39" s="294"/>
      <c r="B39" s="27" t="s">
        <v>552</v>
      </c>
      <c r="C39" s="16"/>
      <c r="D39" s="16"/>
      <c r="E39" s="16" t="s">
        <v>501</v>
      </c>
      <c r="F39" s="4">
        <v>6000</v>
      </c>
      <c r="G39" s="89">
        <v>17800</v>
      </c>
      <c r="H39" s="87">
        <f>IF(F39&gt;0,G39/F39*100,"")</f>
        <v>296.6666666666667</v>
      </c>
      <c r="I39" s="5" t="e">
        <f>F39/F171</f>
        <v>#REF!</v>
      </c>
      <c r="J39" s="7"/>
      <c r="K39" s="7">
        <v>0</v>
      </c>
      <c r="L39" s="7">
        <v>0</v>
      </c>
      <c r="M39" s="7">
        <v>9000</v>
      </c>
      <c r="N39" s="7">
        <v>0</v>
      </c>
      <c r="O39" s="7">
        <v>0</v>
      </c>
      <c r="P39" s="7">
        <v>7950</v>
      </c>
      <c r="Q39" s="7">
        <v>0</v>
      </c>
      <c r="R39" s="7">
        <v>0</v>
      </c>
      <c r="S39" s="7">
        <v>34652</v>
      </c>
      <c r="T39" s="123">
        <v>14163</v>
      </c>
      <c r="U39" s="385">
        <f t="shared" si="0"/>
        <v>0.4087209973450306</v>
      </c>
      <c r="V39" s="376"/>
    </row>
    <row r="40" spans="1:22" ht="24.75" customHeight="1">
      <c r="A40" s="127"/>
      <c r="B40" s="10" t="s">
        <v>471</v>
      </c>
      <c r="C40" s="31"/>
      <c r="D40" s="31"/>
      <c r="E40" s="31">
        <v>2110</v>
      </c>
      <c r="F40" s="4">
        <v>15000</v>
      </c>
      <c r="G40" s="89">
        <v>37000</v>
      </c>
      <c r="H40" s="87">
        <f>IF(F40&gt;0,G40/F40*100,"")</f>
        <v>246.66666666666669</v>
      </c>
      <c r="I40" s="5" t="e">
        <f>F40/F171</f>
        <v>#REF!</v>
      </c>
      <c r="J40" s="7"/>
      <c r="K40" s="7">
        <v>0</v>
      </c>
      <c r="L40" s="7">
        <v>0</v>
      </c>
      <c r="M40" s="7">
        <v>4000</v>
      </c>
      <c r="N40" s="7">
        <v>0</v>
      </c>
      <c r="O40" s="7">
        <v>0</v>
      </c>
      <c r="P40" s="7">
        <v>22000</v>
      </c>
      <c r="Q40" s="7">
        <v>0</v>
      </c>
      <c r="R40" s="7">
        <v>0</v>
      </c>
      <c r="S40" s="7">
        <v>62000</v>
      </c>
      <c r="T40" s="123">
        <v>12700</v>
      </c>
      <c r="U40" s="385">
        <f t="shared" si="0"/>
        <v>0.20483870967741935</v>
      </c>
      <c r="V40" s="376"/>
    </row>
    <row r="41" spans="1:22" ht="14.25" customHeight="1">
      <c r="A41" s="289" t="s">
        <v>274</v>
      </c>
      <c r="B41" s="254" t="s">
        <v>406</v>
      </c>
      <c r="C41" s="263">
        <v>710</v>
      </c>
      <c r="D41" s="263"/>
      <c r="E41" s="263"/>
      <c r="F41" s="259">
        <f>F42+F44+F46</f>
        <v>170602</v>
      </c>
      <c r="G41" s="260">
        <f>G42+G44+G46</f>
        <v>139020</v>
      </c>
      <c r="H41" s="256">
        <f>IF(F41&gt;0,G41/F41*100,"")</f>
        <v>81.48790752746157</v>
      </c>
      <c r="I41" s="261" t="e">
        <f>F41/F171</f>
        <v>#REF!</v>
      </c>
      <c r="J41" s="243"/>
      <c r="K41" s="243">
        <f aca="true" t="shared" si="4" ref="K41:P41">K42+K44+K46</f>
        <v>0</v>
      </c>
      <c r="L41" s="243">
        <f t="shared" si="4"/>
        <v>0</v>
      </c>
      <c r="M41" s="243">
        <f t="shared" si="4"/>
        <v>114563</v>
      </c>
      <c r="N41" s="243">
        <f t="shared" si="4"/>
        <v>0</v>
      </c>
      <c r="O41" s="243">
        <f t="shared" si="4"/>
        <v>0</v>
      </c>
      <c r="P41" s="267">
        <f t="shared" si="4"/>
        <v>137866</v>
      </c>
      <c r="Q41" s="267">
        <f>Q42+Q44+Q46</f>
        <v>0</v>
      </c>
      <c r="R41" s="267">
        <f>R42+R44+R46</f>
        <v>0</v>
      </c>
      <c r="S41" s="267">
        <f>S42+S44+S46</f>
        <v>243547</v>
      </c>
      <c r="T41" s="267">
        <f>T42+T44+T46</f>
        <v>73561</v>
      </c>
      <c r="U41" s="383">
        <f t="shared" si="0"/>
        <v>0.3020402632756716</v>
      </c>
      <c r="V41" s="378"/>
    </row>
    <row r="42" spans="1:22" ht="26.25" customHeight="1">
      <c r="A42" s="127" t="s">
        <v>362</v>
      </c>
      <c r="B42" s="10" t="s">
        <v>670</v>
      </c>
      <c r="C42" s="31"/>
      <c r="D42" s="31">
        <v>71013</v>
      </c>
      <c r="E42" s="7"/>
      <c r="F42" s="4">
        <v>79900</v>
      </c>
      <c r="G42" s="89">
        <v>52100</v>
      </c>
      <c r="H42" s="87">
        <f>IF(F42&gt;0,G42/F42*100,"")</f>
        <v>65.20650813516896</v>
      </c>
      <c r="I42" s="5" t="e">
        <f>F42/F171</f>
        <v>#REF!</v>
      </c>
      <c r="J42" s="7"/>
      <c r="K42" s="7">
        <v>0</v>
      </c>
      <c r="L42" s="7">
        <v>0</v>
      </c>
      <c r="M42" s="7">
        <v>35000</v>
      </c>
      <c r="N42" s="7">
        <v>0</v>
      </c>
      <c r="O42" s="7">
        <v>0</v>
      </c>
      <c r="P42" s="7">
        <v>52000</v>
      </c>
      <c r="Q42" s="7">
        <v>0</v>
      </c>
      <c r="R42" s="7">
        <v>0</v>
      </c>
      <c r="S42" s="7">
        <f>S43</f>
        <v>40000</v>
      </c>
      <c r="T42" s="7">
        <f>T43</f>
        <v>11800</v>
      </c>
      <c r="U42" s="385">
        <f t="shared" si="0"/>
        <v>0.295</v>
      </c>
      <c r="V42" s="375"/>
    </row>
    <row r="43" spans="1:22" ht="26.25" customHeight="1">
      <c r="A43" s="127"/>
      <c r="B43" s="10" t="s">
        <v>471</v>
      </c>
      <c r="C43" s="31"/>
      <c r="D43" s="31"/>
      <c r="E43" s="31">
        <v>2110</v>
      </c>
      <c r="F43" s="4"/>
      <c r="G43" s="89"/>
      <c r="H43" s="87"/>
      <c r="I43" s="5"/>
      <c r="J43" s="7"/>
      <c r="K43" s="7"/>
      <c r="L43" s="7"/>
      <c r="M43" s="7"/>
      <c r="N43" s="7"/>
      <c r="O43" s="7"/>
      <c r="P43" s="7"/>
      <c r="Q43" s="7"/>
      <c r="R43" s="7"/>
      <c r="S43" s="7">
        <v>40000</v>
      </c>
      <c r="T43" s="123">
        <v>11800</v>
      </c>
      <c r="U43" s="385">
        <f t="shared" si="0"/>
        <v>0.295</v>
      </c>
      <c r="V43" s="376"/>
    </row>
    <row r="44" spans="1:22" ht="25.5" customHeight="1">
      <c r="A44" s="127" t="s">
        <v>366</v>
      </c>
      <c r="B44" s="10" t="s">
        <v>672</v>
      </c>
      <c r="C44" s="31"/>
      <c r="D44" s="31">
        <v>71014</v>
      </c>
      <c r="E44" s="7"/>
      <c r="F44" s="4">
        <v>20000</v>
      </c>
      <c r="G44" s="89">
        <v>8000</v>
      </c>
      <c r="H44" s="87">
        <f>IF(F44&gt;0,G44/F44*100,"")</f>
        <v>40</v>
      </c>
      <c r="I44" s="5" t="e">
        <f>F44/F171</f>
        <v>#REF!</v>
      </c>
      <c r="J44" s="7"/>
      <c r="K44" s="7">
        <v>0</v>
      </c>
      <c r="L44" s="7">
        <v>0</v>
      </c>
      <c r="M44" s="7">
        <v>4000</v>
      </c>
      <c r="N44" s="7">
        <v>0</v>
      </c>
      <c r="O44" s="7">
        <v>0</v>
      </c>
      <c r="P44" s="7">
        <v>4000</v>
      </c>
      <c r="Q44" s="7">
        <v>0</v>
      </c>
      <c r="R44" s="7">
        <v>0</v>
      </c>
      <c r="S44" s="7">
        <f>S45</f>
        <v>22000</v>
      </c>
      <c r="T44" s="7">
        <f>T45</f>
        <v>5300</v>
      </c>
      <c r="U44" s="385">
        <f t="shared" si="0"/>
        <v>0.2409090909090909</v>
      </c>
      <c r="V44" s="376"/>
    </row>
    <row r="45" spans="1:22" ht="27.75" customHeight="1">
      <c r="A45" s="127"/>
      <c r="B45" s="10" t="s">
        <v>471</v>
      </c>
      <c r="C45" s="31"/>
      <c r="D45" s="31"/>
      <c r="E45" s="31">
        <v>2110</v>
      </c>
      <c r="F45" s="4"/>
      <c r="G45" s="89"/>
      <c r="H45" s="87"/>
      <c r="I45" s="5"/>
      <c r="J45" s="7"/>
      <c r="K45" s="7"/>
      <c r="L45" s="7"/>
      <c r="M45" s="7"/>
      <c r="N45" s="7"/>
      <c r="O45" s="7"/>
      <c r="P45" s="7"/>
      <c r="Q45" s="7"/>
      <c r="R45" s="7"/>
      <c r="S45" s="7">
        <v>22000</v>
      </c>
      <c r="T45" s="123">
        <v>5300</v>
      </c>
      <c r="U45" s="385">
        <f t="shared" si="0"/>
        <v>0.2409090909090909</v>
      </c>
      <c r="V45" s="376"/>
    </row>
    <row r="46" spans="1:22" ht="17.25" customHeight="1">
      <c r="A46" s="127" t="s">
        <v>400</v>
      </c>
      <c r="B46" s="10" t="s">
        <v>674</v>
      </c>
      <c r="C46" s="31"/>
      <c r="D46" s="31">
        <v>71015</v>
      </c>
      <c r="E46" s="7"/>
      <c r="F46" s="4">
        <v>70702</v>
      </c>
      <c r="G46" s="89">
        <v>78920</v>
      </c>
      <c r="H46" s="87">
        <f>IF(F46&gt;0,G46/F46*100,"")</f>
        <v>111.62343356623575</v>
      </c>
      <c r="I46" s="5" t="e">
        <f>F46/F171</f>
        <v>#REF!</v>
      </c>
      <c r="J46" s="7"/>
      <c r="K46" s="7">
        <v>0</v>
      </c>
      <c r="L46" s="7">
        <v>0</v>
      </c>
      <c r="M46" s="7">
        <v>75563</v>
      </c>
      <c r="N46" s="7">
        <v>0</v>
      </c>
      <c r="O46" s="7">
        <v>0</v>
      </c>
      <c r="P46" s="7">
        <v>81866</v>
      </c>
      <c r="Q46" s="7">
        <v>0</v>
      </c>
      <c r="R46" s="7">
        <v>0</v>
      </c>
      <c r="S46" s="7">
        <f>S47+S48</f>
        <v>181547</v>
      </c>
      <c r="T46" s="7">
        <f>T47+T48</f>
        <v>56461</v>
      </c>
      <c r="U46" s="385">
        <f t="shared" si="0"/>
        <v>0.3109993555387861</v>
      </c>
      <c r="V46" s="376"/>
    </row>
    <row r="47" spans="1:22" ht="17.25" customHeight="1">
      <c r="A47" s="127"/>
      <c r="B47" s="27" t="s">
        <v>364</v>
      </c>
      <c r="C47" s="31"/>
      <c r="D47" s="31"/>
      <c r="E47" s="26" t="s">
        <v>497</v>
      </c>
      <c r="F47" s="4"/>
      <c r="G47" s="89"/>
      <c r="H47" s="87"/>
      <c r="I47" s="5"/>
      <c r="J47" s="7"/>
      <c r="K47" s="7"/>
      <c r="L47" s="7"/>
      <c r="M47" s="7"/>
      <c r="N47" s="7"/>
      <c r="O47" s="7"/>
      <c r="P47" s="7"/>
      <c r="Q47" s="7"/>
      <c r="R47" s="7"/>
      <c r="S47" s="7">
        <v>0</v>
      </c>
      <c r="T47" s="123">
        <v>11</v>
      </c>
      <c r="U47" s="385">
        <v>0</v>
      </c>
      <c r="V47" s="376"/>
    </row>
    <row r="48" spans="1:22" ht="26.25" customHeight="1">
      <c r="A48" s="127"/>
      <c r="B48" s="10" t="s">
        <v>471</v>
      </c>
      <c r="C48" s="31"/>
      <c r="D48" s="31"/>
      <c r="E48" s="31">
        <v>2110</v>
      </c>
      <c r="F48" s="4"/>
      <c r="G48" s="89"/>
      <c r="H48" s="87"/>
      <c r="I48" s="5"/>
      <c r="J48" s="7"/>
      <c r="K48" s="7"/>
      <c r="L48" s="7"/>
      <c r="M48" s="7"/>
      <c r="N48" s="7"/>
      <c r="O48" s="7"/>
      <c r="P48" s="7"/>
      <c r="Q48" s="7"/>
      <c r="R48" s="7"/>
      <c r="S48" s="7">
        <v>181547</v>
      </c>
      <c r="T48" s="123">
        <v>56450</v>
      </c>
      <c r="U48" s="385">
        <f t="shared" si="0"/>
        <v>0.3109387651682484</v>
      </c>
      <c r="V48" s="376"/>
    </row>
    <row r="49" spans="1:22" ht="16.5" customHeight="1">
      <c r="A49" s="289" t="s">
        <v>302</v>
      </c>
      <c r="B49" s="254" t="s">
        <v>387</v>
      </c>
      <c r="C49" s="263">
        <v>750</v>
      </c>
      <c r="D49" s="263"/>
      <c r="E49" s="251"/>
      <c r="F49" s="262">
        <f>F50+F58</f>
        <v>142453</v>
      </c>
      <c r="G49" s="260">
        <f>G50+G58</f>
        <v>144857</v>
      </c>
      <c r="H49" s="256">
        <f>IF(F49&gt;0,G49/F49*100,"")</f>
        <v>101.68757414726261</v>
      </c>
      <c r="I49" s="261" t="e">
        <f>F49/F171</f>
        <v>#REF!</v>
      </c>
      <c r="J49" s="243"/>
      <c r="K49" s="243">
        <f aca="true" t="shared" si="5" ref="K49:R49">K50+K58</f>
        <v>0</v>
      </c>
      <c r="L49" s="243">
        <f t="shared" si="5"/>
        <v>0</v>
      </c>
      <c r="M49" s="243">
        <f t="shared" si="5"/>
        <v>97055</v>
      </c>
      <c r="N49" s="243">
        <f t="shared" si="5"/>
        <v>0</v>
      </c>
      <c r="O49" s="243">
        <f t="shared" si="5"/>
        <v>0</v>
      </c>
      <c r="P49" s="267">
        <f t="shared" si="5"/>
        <v>103976</v>
      </c>
      <c r="Q49" s="267">
        <f t="shared" si="5"/>
        <v>0</v>
      </c>
      <c r="R49" s="267">
        <f t="shared" si="5"/>
        <v>0</v>
      </c>
      <c r="S49" s="267">
        <f>S50+S52+S58</f>
        <v>1230936</v>
      </c>
      <c r="T49" s="267">
        <f>T50+T52+T58</f>
        <v>246603</v>
      </c>
      <c r="U49" s="383">
        <f t="shared" si="0"/>
        <v>0.2003377917292207</v>
      </c>
      <c r="V49" s="381"/>
    </row>
    <row r="50" spans="1:22" ht="18.75" customHeight="1">
      <c r="A50" s="127" t="s">
        <v>362</v>
      </c>
      <c r="B50" s="10" t="s">
        <v>363</v>
      </c>
      <c r="C50" s="31"/>
      <c r="D50" s="31">
        <v>75011</v>
      </c>
      <c r="E50" s="7"/>
      <c r="F50" s="4">
        <v>120453</v>
      </c>
      <c r="G50" s="89">
        <v>120857</v>
      </c>
      <c r="H50" s="87">
        <f>IF(F50&gt;0,G50/F50*100,"")</f>
        <v>100.33540052966717</v>
      </c>
      <c r="I50" s="5" t="e">
        <f>F50/F171</f>
        <v>#REF!</v>
      </c>
      <c r="J50" s="7"/>
      <c r="K50" s="7">
        <v>0</v>
      </c>
      <c r="L50" s="7">
        <v>0</v>
      </c>
      <c r="M50" s="7">
        <v>86463</v>
      </c>
      <c r="N50" s="7">
        <v>0</v>
      </c>
      <c r="O50" s="7">
        <v>0</v>
      </c>
      <c r="P50" s="7">
        <v>89799</v>
      </c>
      <c r="Q50" s="7">
        <v>0</v>
      </c>
      <c r="R50" s="7">
        <v>0</v>
      </c>
      <c r="S50" s="7">
        <f>S51</f>
        <v>102748</v>
      </c>
      <c r="T50" s="7">
        <f>T51</f>
        <v>30627</v>
      </c>
      <c r="U50" s="385">
        <f t="shared" si="0"/>
        <v>0.29807879472106513</v>
      </c>
      <c r="V50" s="376"/>
    </row>
    <row r="51" spans="1:22" ht="24.75" customHeight="1">
      <c r="A51" s="127"/>
      <c r="B51" s="10" t="s">
        <v>471</v>
      </c>
      <c r="C51" s="31"/>
      <c r="D51" s="31"/>
      <c r="E51" s="31">
        <v>2110</v>
      </c>
      <c r="F51" s="4"/>
      <c r="G51" s="89"/>
      <c r="H51" s="87"/>
      <c r="I51" s="5"/>
      <c r="J51" s="7"/>
      <c r="K51" s="7"/>
      <c r="L51" s="7"/>
      <c r="M51" s="7"/>
      <c r="N51" s="7"/>
      <c r="O51" s="7"/>
      <c r="P51" s="7"/>
      <c r="Q51" s="7"/>
      <c r="R51" s="7"/>
      <c r="S51" s="7">
        <v>102748</v>
      </c>
      <c r="T51" s="123">
        <v>30627</v>
      </c>
      <c r="U51" s="385">
        <f t="shared" si="0"/>
        <v>0.29807879472106513</v>
      </c>
      <c r="V51" s="376"/>
    </row>
    <row r="52" spans="1:22" s="85" customFormat="1" ht="15.75" customHeight="1">
      <c r="A52" s="292" t="s">
        <v>366</v>
      </c>
      <c r="B52" s="18" t="s">
        <v>388</v>
      </c>
      <c r="C52" s="20"/>
      <c r="D52" s="20">
        <v>75020</v>
      </c>
      <c r="E52" s="20"/>
      <c r="F52" s="82" t="e">
        <f>F53+F54+F55+#REF!+F56+F57</f>
        <v>#REF!</v>
      </c>
      <c r="G52" s="90" t="e">
        <f>G53+G54+G55+#REF!+G56+G57</f>
        <v>#REF!</v>
      </c>
      <c r="H52" s="91" t="e">
        <f aca="true" t="shared" si="6" ref="H52:H58">IF(F52&gt;0,G52/F52*100,"")</f>
        <v>#REF!</v>
      </c>
      <c r="I52" s="92" t="e">
        <f>F52/F171</f>
        <v>#REF!</v>
      </c>
      <c r="J52" s="18"/>
      <c r="K52" s="18" t="e">
        <f>K53+K54+K55+#REF!+K57</f>
        <v>#REF!</v>
      </c>
      <c r="L52" s="18" t="e">
        <f>L53+L54+L55+#REF!+L57</f>
        <v>#REF!</v>
      </c>
      <c r="M52" s="18" t="e">
        <f>M53+M54+M55+#REF!+M57+M56</f>
        <v>#REF!</v>
      </c>
      <c r="N52" s="18" t="e">
        <f>N53+N54+N55+#REF!+N57+N56</f>
        <v>#REF!</v>
      </c>
      <c r="O52" s="18" t="e">
        <f>O53+O54+O55+#REF!+O57+O56</f>
        <v>#REF!</v>
      </c>
      <c r="P52" s="167" t="e">
        <f>P53+P54+P55+#REF!+P57+P56</f>
        <v>#REF!</v>
      </c>
      <c r="Q52" s="167" t="e">
        <f>Q53+Q54+Q55+#REF!+Q57+Q56</f>
        <v>#REF!</v>
      </c>
      <c r="R52" s="167" t="e">
        <f>R53+R54+R55+#REF!+R57+R56</f>
        <v>#REF!</v>
      </c>
      <c r="S52" s="167">
        <f>S53+S54+S55+S56+S57</f>
        <v>1115188</v>
      </c>
      <c r="T52" s="167">
        <f>T53+T54+T55+T56+T57</f>
        <v>202976</v>
      </c>
      <c r="U52" s="385">
        <f t="shared" si="0"/>
        <v>0.182010566828194</v>
      </c>
      <c r="V52" s="376"/>
    </row>
    <row r="53" spans="1:22" ht="16.5" customHeight="1">
      <c r="A53" s="127"/>
      <c r="B53" s="7" t="s">
        <v>389</v>
      </c>
      <c r="C53" s="16"/>
      <c r="D53" s="16"/>
      <c r="E53" s="16" t="s">
        <v>502</v>
      </c>
      <c r="F53" s="4">
        <v>500000</v>
      </c>
      <c r="G53" s="89">
        <v>650000</v>
      </c>
      <c r="H53" s="87">
        <f t="shared" si="6"/>
        <v>130</v>
      </c>
      <c r="I53" s="5" t="e">
        <f>F53/F171</f>
        <v>#REF!</v>
      </c>
      <c r="J53" s="7"/>
      <c r="K53" s="7">
        <v>0</v>
      </c>
      <c r="L53" s="7">
        <v>0</v>
      </c>
      <c r="M53" s="7">
        <v>529000</v>
      </c>
      <c r="N53" s="7">
        <v>0</v>
      </c>
      <c r="O53" s="7">
        <v>0</v>
      </c>
      <c r="P53" s="7">
        <v>523273</v>
      </c>
      <c r="Q53" s="7">
        <v>0</v>
      </c>
      <c r="R53" s="7">
        <v>0</v>
      </c>
      <c r="S53" s="7">
        <v>1096800</v>
      </c>
      <c r="T53" s="123">
        <v>201014</v>
      </c>
      <c r="U53" s="385">
        <f t="shared" si="0"/>
        <v>0.18327315827862875</v>
      </c>
      <c r="V53" s="376"/>
    </row>
    <row r="54" spans="1:22" ht="14.25" customHeight="1">
      <c r="A54" s="127"/>
      <c r="B54" s="7" t="s">
        <v>368</v>
      </c>
      <c r="C54" s="16"/>
      <c r="D54" s="16"/>
      <c r="E54" s="16" t="s">
        <v>498</v>
      </c>
      <c r="F54" s="4">
        <v>10000</v>
      </c>
      <c r="G54" s="89">
        <v>10000</v>
      </c>
      <c r="H54" s="87">
        <f t="shared" si="6"/>
        <v>100</v>
      </c>
      <c r="I54" s="5" t="e">
        <f>F54/F171</f>
        <v>#REF!</v>
      </c>
      <c r="J54" s="7"/>
      <c r="K54" s="7">
        <v>0</v>
      </c>
      <c r="L54" s="7">
        <v>0</v>
      </c>
      <c r="M54" s="7">
        <v>1800</v>
      </c>
      <c r="N54" s="7">
        <v>0</v>
      </c>
      <c r="O54" s="7">
        <v>0</v>
      </c>
      <c r="P54" s="7">
        <v>1800</v>
      </c>
      <c r="Q54" s="7">
        <v>0</v>
      </c>
      <c r="R54" s="7">
        <v>0</v>
      </c>
      <c r="S54" s="7">
        <v>1450</v>
      </c>
      <c r="T54" s="123">
        <v>342</v>
      </c>
      <c r="U54" s="385">
        <f t="shared" si="0"/>
        <v>0.23586206896551723</v>
      </c>
      <c r="V54" s="376"/>
    </row>
    <row r="55" spans="1:22" ht="25.5" customHeight="1">
      <c r="A55" s="127"/>
      <c r="B55" s="10" t="s">
        <v>371</v>
      </c>
      <c r="C55" s="16"/>
      <c r="D55" s="16"/>
      <c r="E55" s="16" t="s">
        <v>499</v>
      </c>
      <c r="F55" s="4">
        <v>2000</v>
      </c>
      <c r="G55" s="89">
        <v>5000</v>
      </c>
      <c r="H55" s="87">
        <f t="shared" si="6"/>
        <v>250</v>
      </c>
      <c r="I55" s="5" t="e">
        <f>F55/F171</f>
        <v>#REF!</v>
      </c>
      <c r="J55" s="7"/>
      <c r="K55" s="7">
        <v>0</v>
      </c>
      <c r="L55" s="7">
        <v>0</v>
      </c>
      <c r="M55" s="7">
        <v>1070</v>
      </c>
      <c r="N55" s="7">
        <v>0</v>
      </c>
      <c r="O55" s="7">
        <v>0</v>
      </c>
      <c r="P55" s="7">
        <v>676</v>
      </c>
      <c r="Q55" s="7">
        <v>0</v>
      </c>
      <c r="R55" s="7">
        <v>0</v>
      </c>
      <c r="S55" s="7">
        <v>1138</v>
      </c>
      <c r="T55" s="123">
        <v>184</v>
      </c>
      <c r="U55" s="385">
        <f t="shared" si="0"/>
        <v>0.1616871704745167</v>
      </c>
      <c r="V55" s="376"/>
    </row>
    <row r="56" spans="1:22" ht="12.75" customHeight="1">
      <c r="A56" s="127"/>
      <c r="B56" s="7" t="s">
        <v>372</v>
      </c>
      <c r="C56" s="16"/>
      <c r="D56" s="16"/>
      <c r="E56" s="16" t="s">
        <v>500</v>
      </c>
      <c r="F56" s="4">
        <v>10000</v>
      </c>
      <c r="G56" s="89">
        <v>0</v>
      </c>
      <c r="H56" s="87">
        <f t="shared" si="6"/>
        <v>0</v>
      </c>
      <c r="I56" s="5" t="e">
        <f>F56/F171</f>
        <v>#REF!</v>
      </c>
      <c r="J56" s="7"/>
      <c r="K56" s="7"/>
      <c r="L56" s="7"/>
      <c r="M56" s="7">
        <v>4000</v>
      </c>
      <c r="N56" s="7">
        <v>0</v>
      </c>
      <c r="O56" s="7">
        <v>0</v>
      </c>
      <c r="P56" s="7">
        <v>2785</v>
      </c>
      <c r="Q56" s="7">
        <v>0</v>
      </c>
      <c r="R56" s="7">
        <v>0</v>
      </c>
      <c r="S56" s="7">
        <v>200</v>
      </c>
      <c r="T56" s="123">
        <v>724</v>
      </c>
      <c r="U56" s="385">
        <f t="shared" si="0"/>
        <v>3.62</v>
      </c>
      <c r="V56" s="376"/>
    </row>
    <row r="57" spans="1:22" ht="14.25" customHeight="1">
      <c r="A57" s="127"/>
      <c r="B57" s="10" t="s">
        <v>390</v>
      </c>
      <c r="C57" s="16"/>
      <c r="D57" s="16"/>
      <c r="E57" s="16" t="s">
        <v>501</v>
      </c>
      <c r="F57" s="4">
        <v>61000</v>
      </c>
      <c r="G57" s="89">
        <v>70000</v>
      </c>
      <c r="H57" s="87">
        <f t="shared" si="6"/>
        <v>114.75409836065573</v>
      </c>
      <c r="I57" s="5" t="e">
        <f>F57/F171</f>
        <v>#REF!</v>
      </c>
      <c r="J57" s="7"/>
      <c r="K57" s="7">
        <v>0</v>
      </c>
      <c r="L57" s="7">
        <v>0</v>
      </c>
      <c r="M57" s="7">
        <v>25000</v>
      </c>
      <c r="N57" s="7">
        <v>0</v>
      </c>
      <c r="O57" s="7">
        <v>0</v>
      </c>
      <c r="P57" s="7">
        <v>7765</v>
      </c>
      <c r="Q57" s="7">
        <v>0</v>
      </c>
      <c r="R57" s="7">
        <v>0</v>
      </c>
      <c r="S57" s="7">
        <v>15600</v>
      </c>
      <c r="T57" s="123">
        <v>712</v>
      </c>
      <c r="U57" s="385">
        <f t="shared" si="0"/>
        <v>0.045641025641025644</v>
      </c>
      <c r="V57" s="376"/>
    </row>
    <row r="58" spans="1:22" ht="18" customHeight="1">
      <c r="A58" s="127" t="s">
        <v>400</v>
      </c>
      <c r="B58" s="10" t="s">
        <v>689</v>
      </c>
      <c r="C58" s="31"/>
      <c r="D58" s="31">
        <v>75045</v>
      </c>
      <c r="E58" s="7"/>
      <c r="F58" s="4">
        <v>22000</v>
      </c>
      <c r="G58" s="89">
        <v>24000</v>
      </c>
      <c r="H58" s="87">
        <f t="shared" si="6"/>
        <v>109.09090909090908</v>
      </c>
      <c r="I58" s="5" t="e">
        <f>F58/F171</f>
        <v>#REF!</v>
      </c>
      <c r="J58" s="7"/>
      <c r="K58" s="7">
        <v>0</v>
      </c>
      <c r="L58" s="7">
        <v>0</v>
      </c>
      <c r="M58" s="7">
        <v>10592</v>
      </c>
      <c r="N58" s="7">
        <v>0</v>
      </c>
      <c r="O58" s="7">
        <v>0</v>
      </c>
      <c r="P58" s="7">
        <v>14177</v>
      </c>
      <c r="Q58" s="7">
        <v>0</v>
      </c>
      <c r="R58" s="7">
        <v>0</v>
      </c>
      <c r="S58" s="7">
        <f>S59</f>
        <v>13000</v>
      </c>
      <c r="T58" s="7">
        <f>T59</f>
        <v>13000</v>
      </c>
      <c r="U58" s="385">
        <f t="shared" si="0"/>
        <v>1</v>
      </c>
      <c r="V58" s="376"/>
    </row>
    <row r="59" spans="1:22" ht="24" customHeight="1">
      <c r="A59" s="127"/>
      <c r="B59" s="10" t="s">
        <v>471</v>
      </c>
      <c r="C59" s="31"/>
      <c r="D59" s="31"/>
      <c r="E59" s="31">
        <v>2110</v>
      </c>
      <c r="F59" s="4"/>
      <c r="G59" s="89"/>
      <c r="H59" s="87"/>
      <c r="I59" s="5"/>
      <c r="J59" s="7"/>
      <c r="K59" s="7"/>
      <c r="L59" s="7"/>
      <c r="M59" s="7"/>
      <c r="N59" s="7"/>
      <c r="O59" s="7"/>
      <c r="P59" s="7"/>
      <c r="Q59" s="7"/>
      <c r="R59" s="7"/>
      <c r="S59" s="7">
        <v>13000</v>
      </c>
      <c r="T59" s="123">
        <v>13000</v>
      </c>
      <c r="U59" s="385">
        <f t="shared" si="0"/>
        <v>1</v>
      </c>
      <c r="V59" s="376"/>
    </row>
    <row r="60" spans="1:22" ht="24.75" customHeight="1">
      <c r="A60" s="289" t="s">
        <v>303</v>
      </c>
      <c r="B60" s="254" t="s">
        <v>391</v>
      </c>
      <c r="C60" s="263">
        <v>754</v>
      </c>
      <c r="D60" s="263"/>
      <c r="E60" s="263"/>
      <c r="F60" s="259" t="e">
        <f>#REF!+F61</f>
        <v>#REF!</v>
      </c>
      <c r="G60" s="260" t="e">
        <f>#REF!+G61</f>
        <v>#REF!</v>
      </c>
      <c r="H60" s="256" t="e">
        <f>IF(F60&gt;0,G60/F60*100,"")</f>
        <v>#REF!</v>
      </c>
      <c r="I60" s="261" t="e">
        <f>F60/F171</f>
        <v>#REF!</v>
      </c>
      <c r="J60" s="243"/>
      <c r="K60" s="243" t="e">
        <f>#REF!+K61</f>
        <v>#REF!</v>
      </c>
      <c r="L60" s="243" t="e">
        <f>#REF!+L61</f>
        <v>#REF!</v>
      </c>
      <c r="M60" s="243" t="e">
        <f>#REF!+M61</f>
        <v>#REF!</v>
      </c>
      <c r="N60" s="243" t="e">
        <f>#REF!+N61</f>
        <v>#REF!</v>
      </c>
      <c r="O60" s="243" t="e">
        <f>#REF!+O61</f>
        <v>#REF!</v>
      </c>
      <c r="P60" s="267" t="e">
        <f>#REF!+P61</f>
        <v>#REF!</v>
      </c>
      <c r="Q60" s="267" t="e">
        <f>#REF!+Q61</f>
        <v>#REF!</v>
      </c>
      <c r="R60" s="267" t="e">
        <f>#REF!+R61</f>
        <v>#REF!</v>
      </c>
      <c r="S60" s="267">
        <f>S61+S66</f>
        <v>2310000</v>
      </c>
      <c r="T60" s="267">
        <f>T61+T66</f>
        <v>760777</v>
      </c>
      <c r="U60" s="383">
        <f t="shared" si="0"/>
        <v>0.32934069264069266</v>
      </c>
      <c r="V60" s="381"/>
    </row>
    <row r="61" spans="1:22" ht="24" customHeight="1">
      <c r="A61" s="127" t="s">
        <v>362</v>
      </c>
      <c r="B61" s="10" t="s">
        <v>233</v>
      </c>
      <c r="C61" s="31"/>
      <c r="D61" s="31">
        <v>75411</v>
      </c>
      <c r="E61" s="7"/>
      <c r="F61" s="4">
        <v>2662024</v>
      </c>
      <c r="G61" s="89">
        <v>2874880</v>
      </c>
      <c r="H61" s="87">
        <f>IF(F61&gt;0,G61/F61*100,"")</f>
        <v>107.99602107268755</v>
      </c>
      <c r="I61" s="5" t="e">
        <f>F61/F171</f>
        <v>#REF!</v>
      </c>
      <c r="J61" s="7"/>
      <c r="K61" s="7">
        <v>0</v>
      </c>
      <c r="L61" s="7">
        <v>0</v>
      </c>
      <c r="M61" s="18">
        <v>1730000</v>
      </c>
      <c r="N61" s="18">
        <v>0</v>
      </c>
      <c r="O61" s="18">
        <v>0</v>
      </c>
      <c r="P61" s="7">
        <v>1833000</v>
      </c>
      <c r="Q61" s="7">
        <v>0</v>
      </c>
      <c r="R61" s="7">
        <v>0</v>
      </c>
      <c r="S61" s="7">
        <f>S62+S63+S64+S65</f>
        <v>2307000</v>
      </c>
      <c r="T61" s="7">
        <f>T62+T63+T64+T65</f>
        <v>760777</v>
      </c>
      <c r="U61" s="385">
        <f t="shared" si="0"/>
        <v>0.3297689640225401</v>
      </c>
      <c r="V61" s="376"/>
    </row>
    <row r="62" spans="1:22" ht="24" customHeight="1">
      <c r="A62" s="127"/>
      <c r="B62" s="27" t="s">
        <v>364</v>
      </c>
      <c r="C62" s="31"/>
      <c r="D62" s="31"/>
      <c r="E62" s="26" t="s">
        <v>497</v>
      </c>
      <c r="F62" s="4"/>
      <c r="G62" s="89"/>
      <c r="H62" s="87"/>
      <c r="I62" s="5"/>
      <c r="J62" s="7"/>
      <c r="K62" s="7"/>
      <c r="L62" s="7"/>
      <c r="M62" s="18"/>
      <c r="N62" s="18"/>
      <c r="O62" s="18"/>
      <c r="P62" s="7"/>
      <c r="Q62" s="7"/>
      <c r="R62" s="7"/>
      <c r="S62" s="7">
        <v>0</v>
      </c>
      <c r="T62" s="7">
        <v>219</v>
      </c>
      <c r="U62" s="385">
        <v>0</v>
      </c>
      <c r="V62" s="376"/>
    </row>
    <row r="63" spans="1:22" ht="24" customHeight="1">
      <c r="A63" s="127"/>
      <c r="B63" s="137" t="s">
        <v>471</v>
      </c>
      <c r="C63" s="31"/>
      <c r="D63" s="31"/>
      <c r="E63" s="31">
        <v>2110</v>
      </c>
      <c r="F63" s="4"/>
      <c r="G63" s="89"/>
      <c r="H63" s="87"/>
      <c r="I63" s="5"/>
      <c r="J63" s="7"/>
      <c r="K63" s="7"/>
      <c r="L63" s="7"/>
      <c r="M63" s="18"/>
      <c r="N63" s="18"/>
      <c r="O63" s="18"/>
      <c r="P63" s="7"/>
      <c r="Q63" s="7"/>
      <c r="R63" s="7"/>
      <c r="S63" s="7">
        <v>2306000</v>
      </c>
      <c r="T63" s="123">
        <v>740558</v>
      </c>
      <c r="U63" s="385">
        <f t="shared" si="0"/>
        <v>0.32114397224631397</v>
      </c>
      <c r="V63" s="376"/>
    </row>
    <row r="64" spans="1:22" ht="30" customHeight="1">
      <c r="A64" s="294"/>
      <c r="B64" s="137" t="s">
        <v>471</v>
      </c>
      <c r="C64" s="31"/>
      <c r="D64" s="20"/>
      <c r="E64" s="20">
        <v>2310</v>
      </c>
      <c r="F64" s="8"/>
      <c r="G64" s="88"/>
      <c r="H64" s="86"/>
      <c r="I64" s="9"/>
      <c r="J64" s="6"/>
      <c r="K64" s="6"/>
      <c r="L64" s="6"/>
      <c r="M64" s="6"/>
      <c r="N64" s="6"/>
      <c r="O64" s="6"/>
      <c r="P64" s="7"/>
      <c r="Q64" s="7"/>
      <c r="R64" s="7"/>
      <c r="S64" s="7">
        <v>1000</v>
      </c>
      <c r="T64" s="123">
        <v>0</v>
      </c>
      <c r="U64" s="385">
        <f t="shared" si="0"/>
        <v>0</v>
      </c>
      <c r="V64" s="376"/>
    </row>
    <row r="65" spans="1:22" ht="45" customHeight="1">
      <c r="A65" s="294"/>
      <c r="B65" s="137" t="s">
        <v>700</v>
      </c>
      <c r="C65" s="31"/>
      <c r="D65" s="20"/>
      <c r="E65" s="20">
        <v>6630</v>
      </c>
      <c r="F65" s="8"/>
      <c r="G65" s="88"/>
      <c r="H65" s="86"/>
      <c r="I65" s="9"/>
      <c r="J65" s="6"/>
      <c r="K65" s="6"/>
      <c r="L65" s="6"/>
      <c r="M65" s="6"/>
      <c r="N65" s="6"/>
      <c r="O65" s="6"/>
      <c r="P65" s="7"/>
      <c r="Q65" s="7"/>
      <c r="R65" s="7"/>
      <c r="S65" s="7">
        <v>0</v>
      </c>
      <c r="T65" s="123">
        <v>20000</v>
      </c>
      <c r="U65" s="385">
        <v>0</v>
      </c>
      <c r="V65" s="376"/>
    </row>
    <row r="66" spans="1:22" ht="15.75" customHeight="1">
      <c r="A66" s="127" t="s">
        <v>366</v>
      </c>
      <c r="B66" s="10" t="s">
        <v>86</v>
      </c>
      <c r="C66" s="31"/>
      <c r="D66" s="31">
        <v>75414</v>
      </c>
      <c r="E66" s="7"/>
      <c r="F66" s="4"/>
      <c r="G66" s="89"/>
      <c r="H66" s="87"/>
      <c r="I66" s="5"/>
      <c r="J66" s="7"/>
      <c r="K66" s="7"/>
      <c r="L66" s="7"/>
      <c r="M66" s="18"/>
      <c r="N66" s="18"/>
      <c r="O66" s="18"/>
      <c r="P66" s="7"/>
      <c r="Q66" s="7"/>
      <c r="R66" s="7"/>
      <c r="S66" s="7">
        <f>S74</f>
        <v>3000</v>
      </c>
      <c r="T66" s="7">
        <f>T74</f>
        <v>0</v>
      </c>
      <c r="U66" s="385">
        <f t="shared" si="0"/>
        <v>0</v>
      </c>
      <c r="V66" s="376"/>
    </row>
    <row r="67" spans="1:22" ht="21.75" customHeight="1" hidden="1">
      <c r="A67" s="294" t="s">
        <v>366</v>
      </c>
      <c r="B67" s="3" t="s">
        <v>692</v>
      </c>
      <c r="C67" s="25"/>
      <c r="D67" s="25" t="s">
        <v>691</v>
      </c>
      <c r="E67" s="25"/>
      <c r="F67" s="8"/>
      <c r="G67" s="88"/>
      <c r="H67" s="86"/>
      <c r="I67" s="9"/>
      <c r="J67" s="6"/>
      <c r="K67" s="6"/>
      <c r="L67" s="6"/>
      <c r="M67" s="6">
        <f aca="true" t="shared" si="7" ref="M67:R67">M68</f>
        <v>3050</v>
      </c>
      <c r="N67" s="6">
        <f t="shared" si="7"/>
        <v>0</v>
      </c>
      <c r="O67" s="6">
        <f t="shared" si="7"/>
        <v>0</v>
      </c>
      <c r="P67" s="6">
        <f t="shared" si="7"/>
        <v>0</v>
      </c>
      <c r="Q67" s="6">
        <f t="shared" si="7"/>
        <v>0</v>
      </c>
      <c r="R67" s="6">
        <f t="shared" si="7"/>
        <v>0</v>
      </c>
      <c r="S67" s="7"/>
      <c r="T67" s="123"/>
      <c r="U67" s="385" t="e">
        <f t="shared" si="0"/>
        <v>#DIV/0!</v>
      </c>
      <c r="V67" s="376"/>
    </row>
    <row r="68" spans="1:22" ht="0.75" customHeight="1" hidden="1">
      <c r="A68" s="127"/>
      <c r="B68" s="10" t="s">
        <v>466</v>
      </c>
      <c r="C68" s="16"/>
      <c r="D68" s="16"/>
      <c r="E68" s="16" t="s">
        <v>465</v>
      </c>
      <c r="F68" s="4"/>
      <c r="G68" s="89"/>
      <c r="H68" s="87"/>
      <c r="I68" s="5"/>
      <c r="J68" s="7"/>
      <c r="K68" s="7"/>
      <c r="L68" s="7"/>
      <c r="M68" s="7">
        <v>3050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/>
      <c r="T68" s="123"/>
      <c r="U68" s="385" t="e">
        <f t="shared" si="0"/>
        <v>#DIV/0!</v>
      </c>
      <c r="V68" s="376"/>
    </row>
    <row r="69" spans="1:22" ht="25.5" customHeight="1" hidden="1">
      <c r="A69" s="294" t="s">
        <v>274</v>
      </c>
      <c r="B69" s="3" t="s">
        <v>391</v>
      </c>
      <c r="C69" s="50">
        <v>754</v>
      </c>
      <c r="D69" s="31"/>
      <c r="E69" s="31"/>
      <c r="F69" s="4">
        <f>F70+F72</f>
        <v>18600</v>
      </c>
      <c r="G69" s="88">
        <f>G70+G72</f>
        <v>19700</v>
      </c>
      <c r="H69" s="86">
        <f>IF(F69&gt;0,G69/F69*100,"")</f>
        <v>105.91397849462365</v>
      </c>
      <c r="I69" s="9" t="e">
        <f>F69/F171</f>
        <v>#REF!</v>
      </c>
      <c r="J69" s="6"/>
      <c r="K69" s="6">
        <f aca="true" t="shared" si="8" ref="K69:P69">K70+K72</f>
        <v>0</v>
      </c>
      <c r="L69" s="6">
        <f t="shared" si="8"/>
        <v>0</v>
      </c>
      <c r="M69" s="6">
        <f t="shared" si="8"/>
        <v>6000</v>
      </c>
      <c r="N69" s="6">
        <f t="shared" si="8"/>
        <v>0</v>
      </c>
      <c r="O69" s="6">
        <f t="shared" si="8"/>
        <v>0</v>
      </c>
      <c r="P69" s="96">
        <f t="shared" si="8"/>
        <v>1000</v>
      </c>
      <c r="Q69" s="96">
        <f>Q70+Q72</f>
        <v>0</v>
      </c>
      <c r="R69" s="96">
        <f>R70+R72</f>
        <v>0</v>
      </c>
      <c r="S69" s="96">
        <f>S70+S72</f>
        <v>0</v>
      </c>
      <c r="T69" s="339"/>
      <c r="U69" s="385" t="e">
        <f t="shared" si="0"/>
        <v>#DIV/0!</v>
      </c>
      <c r="V69" s="376"/>
    </row>
    <row r="70" spans="1:22" ht="21.75" customHeight="1" hidden="1">
      <c r="A70" s="294" t="s">
        <v>362</v>
      </c>
      <c r="B70" s="6" t="s">
        <v>7</v>
      </c>
      <c r="C70" s="50"/>
      <c r="D70" s="50">
        <v>75405</v>
      </c>
      <c r="E70" s="50"/>
      <c r="F70" s="8">
        <f>F71</f>
        <v>9000</v>
      </c>
      <c r="G70" s="88">
        <f>G71</f>
        <v>9700</v>
      </c>
      <c r="H70" s="86">
        <f>IF(F70&gt;0,G70/F70*100,"")</f>
        <v>107.77777777777777</v>
      </c>
      <c r="I70" s="9" t="e">
        <f>F70/F171</f>
        <v>#REF!</v>
      </c>
      <c r="J70" s="6"/>
      <c r="K70" s="6">
        <f aca="true" t="shared" si="9" ref="K70:R70">K71</f>
        <v>0</v>
      </c>
      <c r="L70" s="6">
        <f t="shared" si="9"/>
        <v>0</v>
      </c>
      <c r="M70" s="6">
        <f t="shared" si="9"/>
        <v>5000</v>
      </c>
      <c r="N70" s="6">
        <f t="shared" si="9"/>
        <v>0</v>
      </c>
      <c r="O70" s="6">
        <f t="shared" si="9"/>
        <v>0</v>
      </c>
      <c r="P70" s="96">
        <f t="shared" si="9"/>
        <v>0</v>
      </c>
      <c r="Q70" s="96">
        <f t="shared" si="9"/>
        <v>0</v>
      </c>
      <c r="R70" s="96">
        <f t="shared" si="9"/>
        <v>0</v>
      </c>
      <c r="S70" s="7"/>
      <c r="T70" s="123"/>
      <c r="U70" s="385" t="e">
        <f t="shared" si="0"/>
        <v>#DIV/0!</v>
      </c>
      <c r="V70" s="376"/>
    </row>
    <row r="71" spans="1:22" ht="0.75" customHeight="1" hidden="1">
      <c r="A71" s="127"/>
      <c r="B71" s="10" t="s">
        <v>364</v>
      </c>
      <c r="C71" s="16"/>
      <c r="D71" s="16"/>
      <c r="E71" s="16" t="s">
        <v>365</v>
      </c>
      <c r="F71" s="4">
        <v>9000</v>
      </c>
      <c r="G71" s="89">
        <v>9700</v>
      </c>
      <c r="H71" s="87">
        <f>IF(F71&gt;0,G71/F71*100,"")</f>
        <v>107.77777777777777</v>
      </c>
      <c r="I71" s="5" t="e">
        <f>F71/F171</f>
        <v>#REF!</v>
      </c>
      <c r="J71" s="7"/>
      <c r="K71" s="7">
        <v>0</v>
      </c>
      <c r="L71" s="7">
        <v>0</v>
      </c>
      <c r="M71" s="7">
        <v>5000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/>
      <c r="T71" s="123"/>
      <c r="U71" s="385" t="e">
        <f t="shared" si="0"/>
        <v>#DIV/0!</v>
      </c>
      <c r="V71" s="376"/>
    </row>
    <row r="72" spans="1:22" ht="24.75" customHeight="1" hidden="1">
      <c r="A72" s="294" t="s">
        <v>362</v>
      </c>
      <c r="B72" s="3" t="s">
        <v>233</v>
      </c>
      <c r="C72" s="25"/>
      <c r="D72" s="25" t="s">
        <v>23</v>
      </c>
      <c r="E72" s="25"/>
      <c r="F72" s="8">
        <f>F73</f>
        <v>9600</v>
      </c>
      <c r="G72" s="88">
        <f>G73</f>
        <v>10000</v>
      </c>
      <c r="H72" s="86">
        <f>IF(F72&gt;0,G72/F72*100,"")</f>
        <v>104.16666666666667</v>
      </c>
      <c r="I72" s="9" t="e">
        <f>F72/F171</f>
        <v>#REF!</v>
      </c>
      <c r="J72" s="6"/>
      <c r="K72" s="6">
        <f aca="true" t="shared" si="10" ref="K72:S72">K73</f>
        <v>0</v>
      </c>
      <c r="L72" s="6">
        <f t="shared" si="10"/>
        <v>0</v>
      </c>
      <c r="M72" s="6">
        <f t="shared" si="10"/>
        <v>1000</v>
      </c>
      <c r="N72" s="6">
        <f t="shared" si="10"/>
        <v>0</v>
      </c>
      <c r="O72" s="6">
        <f t="shared" si="10"/>
        <v>0</v>
      </c>
      <c r="P72" s="96">
        <f t="shared" si="10"/>
        <v>1000</v>
      </c>
      <c r="Q72" s="96">
        <f t="shared" si="10"/>
        <v>0</v>
      </c>
      <c r="R72" s="96">
        <f t="shared" si="10"/>
        <v>0</v>
      </c>
      <c r="S72" s="96">
        <f t="shared" si="10"/>
        <v>0</v>
      </c>
      <c r="T72" s="339"/>
      <c r="U72" s="385" t="e">
        <f t="shared" si="0"/>
        <v>#DIV/0!</v>
      </c>
      <c r="V72" s="376"/>
    </row>
    <row r="73" spans="1:22" ht="13.5" customHeight="1" hidden="1">
      <c r="A73" s="127"/>
      <c r="B73" s="10" t="s">
        <v>364</v>
      </c>
      <c r="C73" s="16"/>
      <c r="D73" s="16"/>
      <c r="E73" s="16" t="s">
        <v>497</v>
      </c>
      <c r="F73" s="4">
        <v>9600</v>
      </c>
      <c r="G73" s="89">
        <v>10000</v>
      </c>
      <c r="H73" s="87">
        <f>IF(F73&gt;0,G73/F73*100,"")</f>
        <v>104.16666666666667</v>
      </c>
      <c r="I73" s="5" t="e">
        <f>F73/F171</f>
        <v>#REF!</v>
      </c>
      <c r="J73" s="7"/>
      <c r="K73" s="7">
        <v>0</v>
      </c>
      <c r="L73" s="7">
        <v>0</v>
      </c>
      <c r="M73" s="7">
        <v>1000</v>
      </c>
      <c r="N73" s="7">
        <v>0</v>
      </c>
      <c r="O73" s="7">
        <v>0</v>
      </c>
      <c r="P73" s="7">
        <v>1000</v>
      </c>
      <c r="Q73" s="7">
        <v>0</v>
      </c>
      <c r="R73" s="7">
        <v>0</v>
      </c>
      <c r="S73" s="7">
        <v>0</v>
      </c>
      <c r="T73" s="123"/>
      <c r="U73" s="385" t="e">
        <f t="shared" si="0"/>
        <v>#DIV/0!</v>
      </c>
      <c r="V73" s="376"/>
    </row>
    <row r="74" spans="1:22" ht="27.75" customHeight="1">
      <c r="A74" s="127"/>
      <c r="B74" s="10" t="s">
        <v>471</v>
      </c>
      <c r="C74" s="16"/>
      <c r="D74" s="16"/>
      <c r="E74" s="31">
        <v>2110</v>
      </c>
      <c r="F74" s="4"/>
      <c r="G74" s="89"/>
      <c r="H74" s="87"/>
      <c r="I74" s="5"/>
      <c r="J74" s="7"/>
      <c r="K74" s="7"/>
      <c r="L74" s="7"/>
      <c r="M74" s="7"/>
      <c r="N74" s="7"/>
      <c r="O74" s="7"/>
      <c r="P74" s="7"/>
      <c r="Q74" s="7"/>
      <c r="R74" s="7"/>
      <c r="S74" s="7">
        <v>3000</v>
      </c>
      <c r="T74" s="123">
        <v>0</v>
      </c>
      <c r="U74" s="385">
        <f t="shared" si="0"/>
        <v>0</v>
      </c>
      <c r="V74" s="376"/>
    </row>
    <row r="75" spans="1:22" ht="35.25" customHeight="1">
      <c r="A75" s="289" t="s">
        <v>292</v>
      </c>
      <c r="B75" s="264" t="s">
        <v>522</v>
      </c>
      <c r="C75" s="255" t="s">
        <v>392</v>
      </c>
      <c r="D75" s="258"/>
      <c r="E75" s="258"/>
      <c r="F75" s="259">
        <f>F76</f>
        <v>285742</v>
      </c>
      <c r="G75" s="260">
        <f>G76</f>
        <v>239445</v>
      </c>
      <c r="H75" s="256">
        <f>IF(F75&gt;0,G75/F75*100,"")</f>
        <v>83.79762163070183</v>
      </c>
      <c r="I75" s="261" t="e">
        <f>F75/F171</f>
        <v>#REF!</v>
      </c>
      <c r="J75" s="243"/>
      <c r="K75" s="243">
        <f aca="true" t="shared" si="11" ref="K75:T76">K76</f>
        <v>0</v>
      </c>
      <c r="L75" s="243">
        <f t="shared" si="11"/>
        <v>0</v>
      </c>
      <c r="M75" s="243">
        <f t="shared" si="11"/>
        <v>134163</v>
      </c>
      <c r="N75" s="243">
        <f t="shared" si="11"/>
        <v>0</v>
      </c>
      <c r="O75" s="243">
        <f t="shared" si="11"/>
        <v>0</v>
      </c>
      <c r="P75" s="267">
        <f t="shared" si="11"/>
        <v>141331</v>
      </c>
      <c r="Q75" s="267">
        <f t="shared" si="11"/>
        <v>0</v>
      </c>
      <c r="R75" s="267">
        <f t="shared" si="11"/>
        <v>0</v>
      </c>
      <c r="S75" s="267">
        <f t="shared" si="11"/>
        <v>2035013</v>
      </c>
      <c r="T75" s="267">
        <f t="shared" si="11"/>
        <v>402263</v>
      </c>
      <c r="U75" s="383">
        <f t="shared" si="0"/>
        <v>0.19767097310926268</v>
      </c>
      <c r="V75" s="381"/>
    </row>
    <row r="76" spans="1:22" s="85" customFormat="1" ht="26.25" customHeight="1">
      <c r="A76" s="292" t="s">
        <v>362</v>
      </c>
      <c r="B76" s="104" t="s">
        <v>520</v>
      </c>
      <c r="C76" s="29"/>
      <c r="D76" s="29" t="s">
        <v>393</v>
      </c>
      <c r="E76" s="29"/>
      <c r="F76" s="82">
        <f>F77</f>
        <v>285742</v>
      </c>
      <c r="G76" s="90">
        <f>G77</f>
        <v>239445</v>
      </c>
      <c r="H76" s="91">
        <f>IF(F76&gt;0,G76/F76*100,"")</f>
        <v>83.79762163070183</v>
      </c>
      <c r="I76" s="92" t="e">
        <f>F76/F171</f>
        <v>#REF!</v>
      </c>
      <c r="J76" s="18"/>
      <c r="K76" s="18">
        <f t="shared" si="11"/>
        <v>0</v>
      </c>
      <c r="L76" s="18">
        <f t="shared" si="11"/>
        <v>0</v>
      </c>
      <c r="M76" s="18">
        <f t="shared" si="11"/>
        <v>134163</v>
      </c>
      <c r="N76" s="18">
        <f t="shared" si="11"/>
        <v>0</v>
      </c>
      <c r="O76" s="18">
        <f t="shared" si="11"/>
        <v>0</v>
      </c>
      <c r="P76" s="167">
        <f t="shared" si="11"/>
        <v>141331</v>
      </c>
      <c r="Q76" s="167">
        <f t="shared" si="11"/>
        <v>0</v>
      </c>
      <c r="R76" s="167">
        <f t="shared" si="11"/>
        <v>0</v>
      </c>
      <c r="S76" s="167">
        <f>S77+S78</f>
        <v>2035013</v>
      </c>
      <c r="T76" s="167">
        <f>T77+T78</f>
        <v>402263</v>
      </c>
      <c r="U76" s="385">
        <f t="shared" si="0"/>
        <v>0.19767097310926268</v>
      </c>
      <c r="V76" s="376"/>
    </row>
    <row r="77" spans="1:22" ht="16.5" customHeight="1">
      <c r="A77" s="127"/>
      <c r="B77" s="10" t="s">
        <v>521</v>
      </c>
      <c r="C77" s="16"/>
      <c r="D77" s="16"/>
      <c r="E77" s="16" t="s">
        <v>503</v>
      </c>
      <c r="F77" s="4">
        <v>285742</v>
      </c>
      <c r="G77" s="89">
        <v>239445</v>
      </c>
      <c r="H77" s="87">
        <f>IF(F77&gt;0,G77/F77*100,"")</f>
        <v>83.79762163070183</v>
      </c>
      <c r="I77" s="5" t="e">
        <f>F77/F171</f>
        <v>#REF!</v>
      </c>
      <c r="J77" s="7"/>
      <c r="K77" s="7">
        <v>0</v>
      </c>
      <c r="L77" s="7">
        <v>0</v>
      </c>
      <c r="M77" s="7">
        <v>134163</v>
      </c>
      <c r="N77" s="7">
        <v>0</v>
      </c>
      <c r="O77" s="7">
        <v>0</v>
      </c>
      <c r="P77" s="7">
        <v>141331</v>
      </c>
      <c r="Q77" s="7">
        <v>0</v>
      </c>
      <c r="R77" s="7">
        <v>0</v>
      </c>
      <c r="S77" s="7">
        <v>1950013</v>
      </c>
      <c r="T77" s="123">
        <v>379900</v>
      </c>
      <c r="U77" s="385">
        <f t="shared" si="0"/>
        <v>0.19481921402575264</v>
      </c>
      <c r="V77" s="376"/>
    </row>
    <row r="78" spans="1:22" ht="16.5" customHeight="1">
      <c r="A78" s="127"/>
      <c r="B78" s="10" t="s">
        <v>654</v>
      </c>
      <c r="C78" s="16"/>
      <c r="D78" s="16"/>
      <c r="E78" s="16" t="s">
        <v>504</v>
      </c>
      <c r="F78" s="4"/>
      <c r="G78" s="89"/>
      <c r="H78" s="87"/>
      <c r="I78" s="5"/>
      <c r="J78" s="7"/>
      <c r="K78" s="7"/>
      <c r="L78" s="7"/>
      <c r="M78" s="7"/>
      <c r="N78" s="7"/>
      <c r="O78" s="7"/>
      <c r="P78" s="7"/>
      <c r="Q78" s="7"/>
      <c r="R78" s="7"/>
      <c r="S78" s="7">
        <v>85000</v>
      </c>
      <c r="T78" s="123">
        <v>22363</v>
      </c>
      <c r="U78" s="385">
        <f aca="true" t="shared" si="12" ref="U78:U87">T78/S78*100%</f>
        <v>0.2630941176470588</v>
      </c>
      <c r="V78" s="376"/>
    </row>
    <row r="79" spans="1:22" ht="18" customHeight="1">
      <c r="A79" s="289" t="s">
        <v>352</v>
      </c>
      <c r="B79" s="257" t="s">
        <v>394</v>
      </c>
      <c r="C79" s="251">
        <v>758</v>
      </c>
      <c r="D79" s="263"/>
      <c r="E79" s="263"/>
      <c r="F79" s="259">
        <f>F84+F88</f>
        <v>90000</v>
      </c>
      <c r="G79" s="260">
        <f>G88+G84</f>
        <v>100000</v>
      </c>
      <c r="H79" s="256">
        <f>IF(F79&gt;0,G79/F79*100,"")</f>
        <v>111.11111111111111</v>
      </c>
      <c r="I79" s="261" t="e">
        <f>F79/F171</f>
        <v>#REF!</v>
      </c>
      <c r="J79" s="243"/>
      <c r="K79" s="243">
        <f aca="true" t="shared" si="13" ref="K79:R79">K84</f>
        <v>0</v>
      </c>
      <c r="L79" s="243">
        <f t="shared" si="13"/>
        <v>0</v>
      </c>
      <c r="M79" s="243">
        <f t="shared" si="13"/>
        <v>60000</v>
      </c>
      <c r="N79" s="243">
        <f t="shared" si="13"/>
        <v>0</v>
      </c>
      <c r="O79" s="243">
        <f t="shared" si="13"/>
        <v>0</v>
      </c>
      <c r="P79" s="267">
        <f t="shared" si="13"/>
        <v>20000</v>
      </c>
      <c r="Q79" s="267">
        <f t="shared" si="13"/>
        <v>0</v>
      </c>
      <c r="R79" s="267">
        <f t="shared" si="13"/>
        <v>0</v>
      </c>
      <c r="S79" s="267">
        <f>S80+S82+S84+S86</f>
        <v>16334381</v>
      </c>
      <c r="T79" s="267">
        <f>T80+T82+T84+T86</f>
        <v>5865176</v>
      </c>
      <c r="U79" s="383">
        <f t="shared" si="12"/>
        <v>0.3590693764275487</v>
      </c>
      <c r="V79" s="381"/>
    </row>
    <row r="80" spans="1:22" s="314" customFormat="1" ht="28.5" customHeight="1">
      <c r="A80" s="306" t="s">
        <v>362</v>
      </c>
      <c r="B80" s="307" t="s">
        <v>472</v>
      </c>
      <c r="C80" s="308"/>
      <c r="D80" s="308">
        <v>75801</v>
      </c>
      <c r="E80" s="308"/>
      <c r="F80" s="309"/>
      <c r="G80" s="310"/>
      <c r="H80" s="311"/>
      <c r="I80" s="312"/>
      <c r="J80" s="205"/>
      <c r="K80" s="205"/>
      <c r="L80" s="205"/>
      <c r="M80" s="205"/>
      <c r="N80" s="205"/>
      <c r="O80" s="205"/>
      <c r="P80" s="313"/>
      <c r="Q80" s="313"/>
      <c r="R80" s="313"/>
      <c r="S80" s="313">
        <f>S81</f>
        <v>13197586</v>
      </c>
      <c r="T80" s="313">
        <f>T81</f>
        <v>5090508</v>
      </c>
      <c r="U80" s="385">
        <f t="shared" si="12"/>
        <v>0.38571508456167664</v>
      </c>
      <c r="V80" s="376"/>
    </row>
    <row r="81" spans="1:22" ht="24.75" customHeight="1">
      <c r="A81" s="127"/>
      <c r="B81" s="10" t="s">
        <v>287</v>
      </c>
      <c r="C81" s="31"/>
      <c r="D81" s="31"/>
      <c r="E81" s="16" t="s">
        <v>506</v>
      </c>
      <c r="F81" s="4"/>
      <c r="G81" s="89"/>
      <c r="H81" s="87"/>
      <c r="I81" s="5"/>
      <c r="J81" s="7"/>
      <c r="K81" s="7"/>
      <c r="L81" s="7"/>
      <c r="M81" s="97"/>
      <c r="N81" s="97"/>
      <c r="O81" s="97"/>
      <c r="P81" s="7"/>
      <c r="Q81" s="7"/>
      <c r="R81" s="7"/>
      <c r="S81" s="7">
        <v>13197586</v>
      </c>
      <c r="T81" s="123">
        <v>5090508</v>
      </c>
      <c r="U81" s="385">
        <f t="shared" si="12"/>
        <v>0.38571508456167664</v>
      </c>
      <c r="V81" s="376"/>
    </row>
    <row r="82" spans="1:22" s="314" customFormat="1" ht="26.25" customHeight="1">
      <c r="A82" s="306" t="s">
        <v>366</v>
      </c>
      <c r="B82" s="307" t="s">
        <v>458</v>
      </c>
      <c r="C82" s="308"/>
      <c r="D82" s="308">
        <v>75803</v>
      </c>
      <c r="E82" s="315"/>
      <c r="F82" s="309">
        <v>857613</v>
      </c>
      <c r="G82" s="310">
        <v>912417</v>
      </c>
      <c r="H82" s="311">
        <f>IF(F82&gt;0,G82/F82*100,"")</f>
        <v>106.39029492323459</v>
      </c>
      <c r="I82" s="312" t="e">
        <f>F82/F171</f>
        <v>#REF!</v>
      </c>
      <c r="J82" s="205"/>
      <c r="K82" s="205">
        <v>0</v>
      </c>
      <c r="L82" s="205">
        <v>0</v>
      </c>
      <c r="M82" s="313">
        <v>531382</v>
      </c>
      <c r="N82" s="313">
        <v>0</v>
      </c>
      <c r="O82" s="313">
        <v>0</v>
      </c>
      <c r="P82" s="205">
        <v>543491</v>
      </c>
      <c r="Q82" s="205">
        <v>0</v>
      </c>
      <c r="R82" s="205">
        <v>0</v>
      </c>
      <c r="S82" s="205">
        <f>S83</f>
        <v>1619480</v>
      </c>
      <c r="T82" s="205">
        <f>T83</f>
        <v>404871</v>
      </c>
      <c r="U82" s="385">
        <f t="shared" si="12"/>
        <v>0.25000061748215474</v>
      </c>
      <c r="V82" s="376"/>
    </row>
    <row r="83" spans="1:22" ht="23.25" customHeight="1">
      <c r="A83" s="71"/>
      <c r="B83" s="10" t="s">
        <v>288</v>
      </c>
      <c r="C83" s="31"/>
      <c r="D83" s="31"/>
      <c r="E83" s="16" t="s">
        <v>506</v>
      </c>
      <c r="F83" s="4"/>
      <c r="G83" s="89"/>
      <c r="H83" s="87"/>
      <c r="I83" s="5"/>
      <c r="J83" s="7"/>
      <c r="K83" s="7"/>
      <c r="L83" s="7"/>
      <c r="M83" s="97"/>
      <c r="N83" s="97"/>
      <c r="O83" s="97"/>
      <c r="P83" s="7"/>
      <c r="Q83" s="7"/>
      <c r="R83" s="7"/>
      <c r="S83" s="7">
        <v>1619480</v>
      </c>
      <c r="T83" s="123">
        <v>404871</v>
      </c>
      <c r="U83" s="385">
        <f t="shared" si="12"/>
        <v>0.25000061748215474</v>
      </c>
      <c r="V83" s="376"/>
    </row>
    <row r="84" spans="1:22" s="85" customFormat="1" ht="17.25" customHeight="1">
      <c r="A84" s="292" t="s">
        <v>400</v>
      </c>
      <c r="B84" s="27" t="s">
        <v>395</v>
      </c>
      <c r="C84" s="20"/>
      <c r="D84" s="20">
        <v>75814</v>
      </c>
      <c r="E84" s="29"/>
      <c r="F84" s="82">
        <f>F85</f>
        <v>90000</v>
      </c>
      <c r="G84" s="90">
        <f>G85</f>
        <v>100000</v>
      </c>
      <c r="H84" s="91">
        <f>IF(F84&gt;0,G84/F84*100,"")</f>
        <v>111.11111111111111</v>
      </c>
      <c r="I84" s="92" t="e">
        <f>F84/F171</f>
        <v>#REF!</v>
      </c>
      <c r="J84" s="18"/>
      <c r="K84" s="18">
        <f aca="true" t="shared" si="14" ref="K84:T84">K85</f>
        <v>0</v>
      </c>
      <c r="L84" s="18">
        <f t="shared" si="14"/>
        <v>0</v>
      </c>
      <c r="M84" s="18">
        <f t="shared" si="14"/>
        <v>60000</v>
      </c>
      <c r="N84" s="18">
        <f t="shared" si="14"/>
        <v>0</v>
      </c>
      <c r="O84" s="18">
        <f t="shared" si="14"/>
        <v>0</v>
      </c>
      <c r="P84" s="167">
        <f t="shared" si="14"/>
        <v>20000</v>
      </c>
      <c r="Q84" s="167">
        <f t="shared" si="14"/>
        <v>0</v>
      </c>
      <c r="R84" s="167">
        <f t="shared" si="14"/>
        <v>0</v>
      </c>
      <c r="S84" s="167">
        <f t="shared" si="14"/>
        <v>65000</v>
      </c>
      <c r="T84" s="167">
        <f t="shared" si="14"/>
        <v>6724</v>
      </c>
      <c r="U84" s="385">
        <f t="shared" si="12"/>
        <v>0.10344615384615384</v>
      </c>
      <c r="V84" s="376"/>
    </row>
    <row r="85" spans="1:22" ht="20.25" customHeight="1">
      <c r="A85" s="127"/>
      <c r="B85" s="10" t="s">
        <v>364</v>
      </c>
      <c r="C85" s="31"/>
      <c r="D85" s="31"/>
      <c r="E85" s="16" t="s">
        <v>497</v>
      </c>
      <c r="F85" s="4">
        <v>90000</v>
      </c>
      <c r="G85" s="89">
        <v>100000</v>
      </c>
      <c r="H85" s="87">
        <f>IF(F85&gt;0,G85/F85*100,"")</f>
        <v>111.11111111111111</v>
      </c>
      <c r="I85" s="5" t="e">
        <f>F85/F171</f>
        <v>#REF!</v>
      </c>
      <c r="J85" s="7"/>
      <c r="K85" s="7">
        <v>0</v>
      </c>
      <c r="L85" s="7">
        <v>0</v>
      </c>
      <c r="M85" s="7">
        <v>60000</v>
      </c>
      <c r="N85" s="7">
        <v>0</v>
      </c>
      <c r="O85" s="7">
        <v>0</v>
      </c>
      <c r="P85" s="7">
        <v>20000</v>
      </c>
      <c r="Q85" s="7">
        <v>0</v>
      </c>
      <c r="R85" s="7">
        <v>0</v>
      </c>
      <c r="S85" s="7">
        <v>65000</v>
      </c>
      <c r="T85" s="123">
        <v>6724</v>
      </c>
      <c r="U85" s="385">
        <f t="shared" si="12"/>
        <v>0.10344615384615384</v>
      </c>
      <c r="V85" s="376"/>
    </row>
    <row r="86" spans="1:23" s="205" customFormat="1" ht="21.75" customHeight="1">
      <c r="A86" s="306" t="s">
        <v>402</v>
      </c>
      <c r="B86" s="307" t="s">
        <v>603</v>
      </c>
      <c r="C86" s="308"/>
      <c r="D86" s="308">
        <v>75832</v>
      </c>
      <c r="E86" s="315"/>
      <c r="F86" s="309"/>
      <c r="G86" s="310"/>
      <c r="H86" s="311"/>
      <c r="I86" s="312"/>
      <c r="M86" s="313"/>
      <c r="N86" s="313"/>
      <c r="O86" s="313"/>
      <c r="S86" s="205">
        <f>S87</f>
        <v>1452315</v>
      </c>
      <c r="T86" s="205">
        <f>T87</f>
        <v>363073</v>
      </c>
      <c r="U86" s="385">
        <f t="shared" si="12"/>
        <v>0.2499960408038201</v>
      </c>
      <c r="V86" s="376"/>
      <c r="W86" s="316"/>
    </row>
    <row r="87" spans="1:22" s="34" customFormat="1" ht="27" customHeight="1">
      <c r="A87" s="294"/>
      <c r="B87" s="27" t="s">
        <v>289</v>
      </c>
      <c r="C87" s="50"/>
      <c r="D87" s="50"/>
      <c r="E87" s="29" t="s">
        <v>506</v>
      </c>
      <c r="F87" s="8"/>
      <c r="G87" s="88"/>
      <c r="H87" s="86"/>
      <c r="I87" s="9"/>
      <c r="J87" s="6"/>
      <c r="K87" s="6"/>
      <c r="L87" s="6"/>
      <c r="M87" s="96"/>
      <c r="N87" s="96"/>
      <c r="O87" s="96"/>
      <c r="P87" s="6"/>
      <c r="Q87" s="6"/>
      <c r="R87" s="6"/>
      <c r="S87" s="18">
        <v>1452315</v>
      </c>
      <c r="T87" s="342">
        <v>363073</v>
      </c>
      <c r="U87" s="385">
        <f t="shared" si="12"/>
        <v>0.2499960408038201</v>
      </c>
      <c r="V87" s="376"/>
    </row>
    <row r="88" spans="1:22" ht="26.25" customHeight="1" hidden="1">
      <c r="A88" s="127" t="s">
        <v>366</v>
      </c>
      <c r="B88" s="10" t="s">
        <v>396</v>
      </c>
      <c r="C88" s="31"/>
      <c r="D88" s="31">
        <v>75809</v>
      </c>
      <c r="E88" s="31"/>
      <c r="F88" s="4">
        <f>F89+F90</f>
        <v>0</v>
      </c>
      <c r="G88" s="89">
        <f>G89+G90</f>
        <v>0</v>
      </c>
      <c r="H88" s="87">
        <f aca="true" t="shared" si="15" ref="H88:H94">IF(F88&gt;0,G88/F88*100,"")</f>
      </c>
      <c r="I88" s="5" t="e">
        <f>F88/F171</f>
        <v>#REF!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123"/>
      <c r="U88" s="383" t="e">
        <f aca="true" t="shared" si="16" ref="U88:U139">T88/S88*100%</f>
        <v>#DIV/0!</v>
      </c>
      <c r="V88" s="376"/>
    </row>
    <row r="89" spans="1:22" ht="52.5" customHeight="1" hidden="1">
      <c r="A89" s="127"/>
      <c r="B89" s="10" t="s">
        <v>397</v>
      </c>
      <c r="C89" s="31"/>
      <c r="D89" s="31"/>
      <c r="E89" s="31">
        <v>271</v>
      </c>
      <c r="F89" s="4">
        <v>0</v>
      </c>
      <c r="G89" s="89">
        <v>0</v>
      </c>
      <c r="H89" s="87">
        <f t="shared" si="15"/>
      </c>
      <c r="I89" s="5" t="e">
        <f>F89/F171</f>
        <v>#REF!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123"/>
      <c r="U89" s="383" t="e">
        <f t="shared" si="16"/>
        <v>#DIV/0!</v>
      </c>
      <c r="V89" s="376"/>
    </row>
    <row r="90" spans="1:22" ht="63.75" customHeight="1" hidden="1">
      <c r="A90" s="127"/>
      <c r="B90" s="10" t="s">
        <v>398</v>
      </c>
      <c r="C90" s="31"/>
      <c r="D90" s="31"/>
      <c r="E90" s="31">
        <v>630</v>
      </c>
      <c r="F90" s="4">
        <v>0</v>
      </c>
      <c r="G90" s="89">
        <v>0</v>
      </c>
      <c r="H90" s="87">
        <f t="shared" si="15"/>
      </c>
      <c r="I90" s="5" t="e">
        <f>F90/F171</f>
        <v>#REF!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123"/>
      <c r="U90" s="383" t="e">
        <f t="shared" si="16"/>
        <v>#DIV/0!</v>
      </c>
      <c r="V90" s="376"/>
    </row>
    <row r="91" spans="1:22" ht="18" customHeight="1">
      <c r="A91" s="289" t="s">
        <v>341</v>
      </c>
      <c r="B91" s="257" t="s">
        <v>399</v>
      </c>
      <c r="C91" s="255" t="s">
        <v>49</v>
      </c>
      <c r="D91" s="258"/>
      <c r="E91" s="258"/>
      <c r="F91" s="259" t="e">
        <f>F92+#REF!</f>
        <v>#REF!</v>
      </c>
      <c r="G91" s="260" t="e">
        <f>G92+#REF!+G97+#REF!</f>
        <v>#REF!</v>
      </c>
      <c r="H91" s="256" t="e">
        <f t="shared" si="15"/>
        <v>#REF!</v>
      </c>
      <c r="I91" s="261" t="e">
        <f>F91/F171</f>
        <v>#REF!</v>
      </c>
      <c r="J91" s="243"/>
      <c r="K91" s="243" t="e">
        <f>K92+#REF!+K97+#REF!</f>
        <v>#REF!</v>
      </c>
      <c r="L91" s="243" t="e">
        <f>L92+#REF!+L97+#REF!</f>
        <v>#REF!</v>
      </c>
      <c r="M91" s="243" t="e">
        <f>M92+M97+#REF!+#REF!</f>
        <v>#REF!</v>
      </c>
      <c r="N91" s="243" t="e">
        <f>N92+N97+#REF!</f>
        <v>#REF!</v>
      </c>
      <c r="O91" s="243" t="e">
        <f>O92+O97+#REF!</f>
        <v>#REF!</v>
      </c>
      <c r="P91" s="267" t="e">
        <f>P92+P97+#REF!+#REF!</f>
        <v>#REF!</v>
      </c>
      <c r="Q91" s="267" t="e">
        <f>Q92+Q97+#REF!+#REF!</f>
        <v>#REF!</v>
      </c>
      <c r="R91" s="267" t="e">
        <f>R92+R97+#REF!+#REF!</f>
        <v>#REF!</v>
      </c>
      <c r="S91" s="267">
        <f>S92+S97</f>
        <v>133732</v>
      </c>
      <c r="T91" s="267">
        <f>T92+T97</f>
        <v>42820</v>
      </c>
      <c r="U91" s="383">
        <f t="shared" si="16"/>
        <v>0.3201926240540783</v>
      </c>
      <c r="V91" s="381"/>
    </row>
    <row r="92" spans="1:22" s="85" customFormat="1" ht="16.5" customHeight="1">
      <c r="A92" s="292" t="s">
        <v>362</v>
      </c>
      <c r="B92" s="18" t="s">
        <v>67</v>
      </c>
      <c r="C92" s="29"/>
      <c r="D92" s="29" t="s">
        <v>66</v>
      </c>
      <c r="E92" s="29"/>
      <c r="F92" s="82" t="e">
        <f>F93+F94+#REF!+#REF!</f>
        <v>#REF!</v>
      </c>
      <c r="G92" s="90" t="e">
        <f>G93+G94+#REF!+#REF!</f>
        <v>#REF!</v>
      </c>
      <c r="H92" s="91" t="e">
        <f t="shared" si="15"/>
        <v>#REF!</v>
      </c>
      <c r="I92" s="92" t="e">
        <f>F92/F171</f>
        <v>#REF!</v>
      </c>
      <c r="J92" s="18"/>
      <c r="K92" s="18" t="e">
        <f>K93+K94+#REF!+#REF!</f>
        <v>#REF!</v>
      </c>
      <c r="L92" s="18" t="e">
        <f>L93+L94+#REF!+#REF!</f>
        <v>#REF!</v>
      </c>
      <c r="M92" s="18" t="e">
        <f>M93+M94+#REF!+#REF!+#REF!</f>
        <v>#REF!</v>
      </c>
      <c r="N92" s="18" t="e">
        <f>N93+N94+#REF!+#REF!+#REF!</f>
        <v>#REF!</v>
      </c>
      <c r="O92" s="18" t="e">
        <f>O93+O94+#REF!+#REF!+#REF!</f>
        <v>#REF!</v>
      </c>
      <c r="P92" s="18" t="e">
        <f>P93+P94+#REF!+#REF!</f>
        <v>#REF!</v>
      </c>
      <c r="Q92" s="18" t="e">
        <f>Q93+Q94+#REF!+#REF!</f>
        <v>#REF!</v>
      </c>
      <c r="R92" s="18" t="e">
        <f>R93+R94+#REF!+#REF!</f>
        <v>#REF!</v>
      </c>
      <c r="S92" s="18">
        <f>S93+S94+S95+S96</f>
        <v>17830</v>
      </c>
      <c r="T92" s="18">
        <f>T93+T94+T95+T96</f>
        <v>8090</v>
      </c>
      <c r="U92" s="385">
        <f t="shared" si="16"/>
        <v>0.4537296690970275</v>
      </c>
      <c r="V92" s="376"/>
    </row>
    <row r="93" spans="1:22" ht="16.5" customHeight="1">
      <c r="A93" s="127"/>
      <c r="B93" s="7" t="s">
        <v>368</v>
      </c>
      <c r="C93" s="16"/>
      <c r="D93" s="16"/>
      <c r="E93" s="16" t="s">
        <v>498</v>
      </c>
      <c r="F93" s="4">
        <v>490</v>
      </c>
      <c r="G93" s="89">
        <v>500</v>
      </c>
      <c r="H93" s="87">
        <f t="shared" si="15"/>
        <v>102.04081632653062</v>
      </c>
      <c r="I93" s="5" t="e">
        <f>F93/F171</f>
        <v>#REF!</v>
      </c>
      <c r="J93" s="7"/>
      <c r="K93" s="7">
        <v>0</v>
      </c>
      <c r="L93" s="7">
        <v>0</v>
      </c>
      <c r="M93" s="7">
        <v>450</v>
      </c>
      <c r="N93" s="7">
        <v>0</v>
      </c>
      <c r="O93" s="7">
        <v>0</v>
      </c>
      <c r="P93" s="7">
        <v>600</v>
      </c>
      <c r="Q93" s="7">
        <v>0</v>
      </c>
      <c r="R93" s="7">
        <v>0</v>
      </c>
      <c r="S93" s="7">
        <v>400</v>
      </c>
      <c r="T93" s="123">
        <v>55</v>
      </c>
      <c r="U93" s="385">
        <f t="shared" si="16"/>
        <v>0.1375</v>
      </c>
      <c r="V93" s="376"/>
    </row>
    <row r="94" spans="1:22" ht="21.75" customHeight="1">
      <c r="A94" s="127"/>
      <c r="B94" s="137" t="s">
        <v>553</v>
      </c>
      <c r="C94" s="16"/>
      <c r="D94" s="16"/>
      <c r="E94" s="16" t="s">
        <v>499</v>
      </c>
      <c r="F94" s="4">
        <v>41300</v>
      </c>
      <c r="G94" s="89">
        <v>53461</v>
      </c>
      <c r="H94" s="87">
        <f t="shared" si="15"/>
        <v>129.4455205811138</v>
      </c>
      <c r="I94" s="5" t="e">
        <f>F94/F171</f>
        <v>#REF!</v>
      </c>
      <c r="J94" s="7"/>
      <c r="K94" s="7">
        <v>0</v>
      </c>
      <c r="L94" s="7">
        <v>0</v>
      </c>
      <c r="M94" s="7">
        <v>39124</v>
      </c>
      <c r="N94" s="7">
        <v>0</v>
      </c>
      <c r="O94" s="7">
        <v>0</v>
      </c>
      <c r="P94" s="7">
        <v>29000</v>
      </c>
      <c r="Q94" s="7">
        <v>0</v>
      </c>
      <c r="R94" s="7">
        <v>4000</v>
      </c>
      <c r="S94" s="7">
        <v>17000</v>
      </c>
      <c r="T94" s="123">
        <v>7967</v>
      </c>
      <c r="U94" s="385">
        <f t="shared" si="16"/>
        <v>0.4686470588235294</v>
      </c>
      <c r="V94" s="376"/>
    </row>
    <row r="95" spans="1:22" ht="13.5" customHeight="1">
      <c r="A95" s="127"/>
      <c r="B95" s="10" t="s">
        <v>372</v>
      </c>
      <c r="C95" s="16"/>
      <c r="D95" s="16"/>
      <c r="E95" s="16" t="s">
        <v>500</v>
      </c>
      <c r="F95" s="4"/>
      <c r="G95" s="89"/>
      <c r="H95" s="87"/>
      <c r="I95" s="5"/>
      <c r="J95" s="7"/>
      <c r="K95" s="7"/>
      <c r="L95" s="7"/>
      <c r="M95" s="7"/>
      <c r="N95" s="7"/>
      <c r="O95" s="7"/>
      <c r="P95" s="7"/>
      <c r="Q95" s="7"/>
      <c r="R95" s="7"/>
      <c r="S95" s="7">
        <v>0</v>
      </c>
      <c r="T95" s="123">
        <v>0</v>
      </c>
      <c r="U95" s="385">
        <v>0</v>
      </c>
      <c r="V95" s="376"/>
    </row>
    <row r="96" spans="1:22" ht="15.75" customHeight="1">
      <c r="A96" s="127"/>
      <c r="B96" s="10" t="s">
        <v>364</v>
      </c>
      <c r="C96" s="16"/>
      <c r="D96" s="16"/>
      <c r="E96" s="16" t="s">
        <v>497</v>
      </c>
      <c r="F96" s="4"/>
      <c r="G96" s="89"/>
      <c r="H96" s="87"/>
      <c r="I96" s="5"/>
      <c r="J96" s="7"/>
      <c r="K96" s="7"/>
      <c r="L96" s="7"/>
      <c r="M96" s="7"/>
      <c r="N96" s="7"/>
      <c r="O96" s="7"/>
      <c r="P96" s="7"/>
      <c r="Q96" s="7"/>
      <c r="R96" s="7"/>
      <c r="S96" s="7">
        <v>430</v>
      </c>
      <c r="T96" s="123">
        <v>68</v>
      </c>
      <c r="U96" s="385">
        <f t="shared" si="16"/>
        <v>0.15813953488372093</v>
      </c>
      <c r="V96" s="376"/>
    </row>
    <row r="97" spans="1:22" s="85" customFormat="1" ht="18.75" customHeight="1">
      <c r="A97" s="292" t="s">
        <v>366</v>
      </c>
      <c r="B97" s="27" t="s">
        <v>75</v>
      </c>
      <c r="C97" s="29"/>
      <c r="D97" s="29" t="s">
        <v>74</v>
      </c>
      <c r="E97" s="29"/>
      <c r="F97" s="82"/>
      <c r="G97" s="90">
        <f>G98+G99+G100+G101+G102+G103</f>
        <v>302185</v>
      </c>
      <c r="H97" s="91"/>
      <c r="I97" s="92"/>
      <c r="J97" s="18"/>
      <c r="K97" s="18">
        <f aca="true" t="shared" si="17" ref="K97:P97">K98+K99+K100+K101+K102+K103</f>
        <v>0</v>
      </c>
      <c r="L97" s="18">
        <f t="shared" si="17"/>
        <v>0</v>
      </c>
      <c r="M97" s="18">
        <f t="shared" si="17"/>
        <v>159655</v>
      </c>
      <c r="N97" s="18">
        <f t="shared" si="17"/>
        <v>0</v>
      </c>
      <c r="O97" s="18">
        <f t="shared" si="17"/>
        <v>0</v>
      </c>
      <c r="P97" s="167">
        <f t="shared" si="17"/>
        <v>252149</v>
      </c>
      <c r="Q97" s="167">
        <f>Q98+Q99+Q100+Q101+Q102+Q103</f>
        <v>0</v>
      </c>
      <c r="R97" s="167">
        <f>R98+R99+R100+R101+R102+R103</f>
        <v>0</v>
      </c>
      <c r="S97" s="167">
        <f>S98+S99+S100+S101+S102+S103</f>
        <v>115902</v>
      </c>
      <c r="T97" s="167">
        <f>T98+T99+T100+T101+T102+T103</f>
        <v>34730</v>
      </c>
      <c r="U97" s="385">
        <f t="shared" si="16"/>
        <v>0.2996497040603268</v>
      </c>
      <c r="V97" s="376"/>
    </row>
    <row r="98" spans="1:22" ht="18.75" customHeight="1">
      <c r="A98" s="127"/>
      <c r="B98" s="7" t="s">
        <v>368</v>
      </c>
      <c r="C98" s="16"/>
      <c r="D98" s="16"/>
      <c r="E98" s="16" t="s">
        <v>498</v>
      </c>
      <c r="F98" s="4"/>
      <c r="G98" s="89">
        <v>330</v>
      </c>
      <c r="H98" s="87"/>
      <c r="I98" s="5"/>
      <c r="J98" s="7"/>
      <c r="K98" s="7">
        <v>0</v>
      </c>
      <c r="L98" s="7"/>
      <c r="M98" s="7">
        <v>0</v>
      </c>
      <c r="N98" s="7">
        <v>0</v>
      </c>
      <c r="O98" s="7">
        <v>0</v>
      </c>
      <c r="P98" s="7">
        <v>300</v>
      </c>
      <c r="Q98" s="7">
        <v>0</v>
      </c>
      <c r="R98" s="7">
        <v>0</v>
      </c>
      <c r="S98" s="7">
        <v>300</v>
      </c>
      <c r="T98" s="123">
        <v>0</v>
      </c>
      <c r="U98" s="385">
        <f t="shared" si="16"/>
        <v>0</v>
      </c>
      <c r="V98" s="376"/>
    </row>
    <row r="99" spans="1:22" ht="23.25" customHeight="1">
      <c r="A99" s="127"/>
      <c r="B99" s="137" t="s">
        <v>553</v>
      </c>
      <c r="C99" s="16"/>
      <c r="D99" s="16"/>
      <c r="E99" s="16" t="s">
        <v>499</v>
      </c>
      <c r="F99" s="4"/>
      <c r="G99" s="89">
        <v>195458</v>
      </c>
      <c r="H99" s="87"/>
      <c r="I99" s="5"/>
      <c r="J99" s="7"/>
      <c r="K99" s="7">
        <v>0</v>
      </c>
      <c r="L99" s="7">
        <v>0</v>
      </c>
      <c r="M99" s="7">
        <v>84152</v>
      </c>
      <c r="N99" s="7">
        <v>0</v>
      </c>
      <c r="O99" s="7">
        <v>0</v>
      </c>
      <c r="P99" s="7">
        <v>180558</v>
      </c>
      <c r="Q99" s="7">
        <v>0</v>
      </c>
      <c r="R99" s="7">
        <v>0</v>
      </c>
      <c r="S99" s="7">
        <v>53900</v>
      </c>
      <c r="T99" s="123">
        <v>11910</v>
      </c>
      <c r="U99" s="385">
        <f t="shared" si="16"/>
        <v>0.22096474953617812</v>
      </c>
      <c r="V99" s="376"/>
    </row>
    <row r="100" spans="1:22" ht="16.5" customHeight="1">
      <c r="A100" s="127"/>
      <c r="B100" s="10" t="s">
        <v>372</v>
      </c>
      <c r="C100" s="16"/>
      <c r="D100" s="16"/>
      <c r="E100" s="16" t="s">
        <v>500</v>
      </c>
      <c r="F100" s="4"/>
      <c r="G100" s="89">
        <v>92116</v>
      </c>
      <c r="H100" s="87"/>
      <c r="I100" s="5"/>
      <c r="J100" s="7"/>
      <c r="K100" s="7">
        <v>0</v>
      </c>
      <c r="L100" s="7">
        <v>0</v>
      </c>
      <c r="M100" s="7">
        <v>69767</v>
      </c>
      <c r="N100" s="7">
        <v>0</v>
      </c>
      <c r="O100" s="7">
        <v>0</v>
      </c>
      <c r="P100" s="7">
        <v>68098</v>
      </c>
      <c r="Q100" s="7">
        <v>0</v>
      </c>
      <c r="R100" s="7">
        <v>0</v>
      </c>
      <c r="S100" s="7">
        <v>58087</v>
      </c>
      <c r="T100" s="123">
        <v>14017</v>
      </c>
      <c r="U100" s="385">
        <f t="shared" si="16"/>
        <v>0.24131044812092206</v>
      </c>
      <c r="V100" s="376"/>
    </row>
    <row r="101" spans="1:22" ht="15" customHeight="1">
      <c r="A101" s="127"/>
      <c r="B101" s="10" t="s">
        <v>156</v>
      </c>
      <c r="C101" s="16"/>
      <c r="D101" s="16"/>
      <c r="E101" s="16" t="s">
        <v>155</v>
      </c>
      <c r="F101" s="4"/>
      <c r="G101" s="89">
        <v>200</v>
      </c>
      <c r="H101" s="87"/>
      <c r="I101" s="5"/>
      <c r="J101" s="7"/>
      <c r="K101" s="7">
        <v>0</v>
      </c>
      <c r="L101" s="7">
        <v>0</v>
      </c>
      <c r="M101" s="7">
        <v>200</v>
      </c>
      <c r="N101" s="7">
        <v>0</v>
      </c>
      <c r="O101" s="7">
        <v>0</v>
      </c>
      <c r="P101" s="7">
        <v>230</v>
      </c>
      <c r="Q101" s="7">
        <v>0</v>
      </c>
      <c r="R101" s="7">
        <v>0</v>
      </c>
      <c r="S101" s="7">
        <v>0</v>
      </c>
      <c r="T101" s="123">
        <v>3346</v>
      </c>
      <c r="U101" s="385">
        <v>0</v>
      </c>
      <c r="V101" s="376"/>
    </row>
    <row r="102" spans="1:22" ht="15" customHeight="1">
      <c r="A102" s="127"/>
      <c r="B102" s="10" t="s">
        <v>364</v>
      </c>
      <c r="C102" s="16"/>
      <c r="D102" s="16"/>
      <c r="E102" s="16" t="s">
        <v>497</v>
      </c>
      <c r="F102" s="4"/>
      <c r="G102" s="89">
        <v>13881</v>
      </c>
      <c r="H102" s="87"/>
      <c r="I102" s="5"/>
      <c r="J102" s="7"/>
      <c r="K102" s="7">
        <v>0</v>
      </c>
      <c r="L102" s="7">
        <v>0</v>
      </c>
      <c r="M102" s="7">
        <v>4650</v>
      </c>
      <c r="N102" s="7">
        <v>0</v>
      </c>
      <c r="O102" s="7">
        <v>0</v>
      </c>
      <c r="P102" s="7">
        <v>1270</v>
      </c>
      <c r="Q102" s="7">
        <v>0</v>
      </c>
      <c r="R102" s="7">
        <v>0</v>
      </c>
      <c r="S102" s="7">
        <v>350</v>
      </c>
      <c r="T102" s="123">
        <v>107</v>
      </c>
      <c r="U102" s="385">
        <f t="shared" si="16"/>
        <v>0.3057142857142857</v>
      </c>
      <c r="V102" s="376"/>
    </row>
    <row r="103" spans="1:22" ht="14.25" customHeight="1">
      <c r="A103" s="127"/>
      <c r="B103" s="10" t="s">
        <v>390</v>
      </c>
      <c r="C103" s="16"/>
      <c r="D103" s="16"/>
      <c r="E103" s="16" t="s">
        <v>501</v>
      </c>
      <c r="F103" s="4"/>
      <c r="G103" s="89">
        <v>200</v>
      </c>
      <c r="H103" s="87"/>
      <c r="I103" s="5"/>
      <c r="J103" s="7"/>
      <c r="K103" s="7">
        <v>0</v>
      </c>
      <c r="L103" s="7">
        <v>0</v>
      </c>
      <c r="M103" s="7">
        <v>886</v>
      </c>
      <c r="N103" s="7">
        <v>0</v>
      </c>
      <c r="O103" s="7">
        <v>0</v>
      </c>
      <c r="P103" s="7">
        <v>1693</v>
      </c>
      <c r="Q103" s="7">
        <v>0</v>
      </c>
      <c r="R103" s="7">
        <v>0</v>
      </c>
      <c r="S103" s="7">
        <v>3265</v>
      </c>
      <c r="T103" s="123">
        <v>5350</v>
      </c>
      <c r="U103" s="385">
        <f t="shared" si="16"/>
        <v>1.6385911179173047</v>
      </c>
      <c r="V103" s="376"/>
    </row>
    <row r="104" spans="1:22" ht="21.75" customHeight="1">
      <c r="A104" s="289" t="s">
        <v>562</v>
      </c>
      <c r="B104" s="254" t="s">
        <v>284</v>
      </c>
      <c r="C104" s="251">
        <v>803</v>
      </c>
      <c r="D104" s="266"/>
      <c r="E104" s="251"/>
      <c r="F104" s="262"/>
      <c r="G104" s="260"/>
      <c r="H104" s="256"/>
      <c r="I104" s="261"/>
      <c r="J104" s="243"/>
      <c r="K104" s="243"/>
      <c r="L104" s="243"/>
      <c r="M104" s="243"/>
      <c r="N104" s="243"/>
      <c r="O104" s="243"/>
      <c r="P104" s="243" t="e">
        <f>#REF!</f>
        <v>#REF!</v>
      </c>
      <c r="Q104" s="243" t="e">
        <f>#REF!</f>
        <v>#REF!</v>
      </c>
      <c r="R104" s="243" t="e">
        <f>#REF!</f>
        <v>#REF!</v>
      </c>
      <c r="S104" s="243">
        <f>S105</f>
        <v>72046</v>
      </c>
      <c r="T104" s="243">
        <f>T105</f>
        <v>13022</v>
      </c>
      <c r="U104" s="383">
        <f t="shared" si="16"/>
        <v>0.1807456347333648</v>
      </c>
      <c r="V104" s="381"/>
    </row>
    <row r="105" spans="1:22" s="314" customFormat="1" ht="21.75" customHeight="1">
      <c r="A105" s="306" t="s">
        <v>362</v>
      </c>
      <c r="B105" s="307" t="s">
        <v>473</v>
      </c>
      <c r="C105" s="308"/>
      <c r="D105" s="308">
        <v>80309</v>
      </c>
      <c r="E105" s="308"/>
      <c r="F105" s="309"/>
      <c r="G105" s="310"/>
      <c r="H105" s="311"/>
      <c r="I105" s="312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>
        <f>S106+S107+S108</f>
        <v>72046</v>
      </c>
      <c r="T105" s="205">
        <f>T106+T107+T108</f>
        <v>13022</v>
      </c>
      <c r="U105" s="385">
        <f t="shared" si="16"/>
        <v>0.1807456347333648</v>
      </c>
      <c r="V105" s="376"/>
    </row>
    <row r="106" spans="1:22" s="314" customFormat="1" ht="21.75" customHeight="1">
      <c r="A106" s="306"/>
      <c r="B106" s="372" t="s">
        <v>364</v>
      </c>
      <c r="C106" s="308"/>
      <c r="D106" s="308"/>
      <c r="E106" s="315" t="s">
        <v>497</v>
      </c>
      <c r="F106" s="309"/>
      <c r="G106" s="310"/>
      <c r="H106" s="311"/>
      <c r="I106" s="312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>
        <v>0</v>
      </c>
      <c r="T106" s="341">
        <v>7</v>
      </c>
      <c r="U106" s="385">
        <v>0</v>
      </c>
      <c r="V106" s="376"/>
    </row>
    <row r="107" spans="1:22" ht="47.25" customHeight="1">
      <c r="A107" s="292"/>
      <c r="B107" s="137" t="s">
        <v>440</v>
      </c>
      <c r="C107" s="20"/>
      <c r="D107" s="20"/>
      <c r="E107" s="20">
        <v>2888</v>
      </c>
      <c r="F107" s="82"/>
      <c r="G107" s="90"/>
      <c r="H107" s="91"/>
      <c r="I107" s="92"/>
      <c r="J107" s="18"/>
      <c r="K107" s="18"/>
      <c r="L107" s="18"/>
      <c r="M107" s="18"/>
      <c r="N107" s="18"/>
      <c r="O107" s="18"/>
      <c r="P107" s="7"/>
      <c r="Q107" s="7"/>
      <c r="R107" s="7"/>
      <c r="S107" s="7">
        <v>54034</v>
      </c>
      <c r="T107" s="123">
        <v>9761</v>
      </c>
      <c r="U107" s="385">
        <f t="shared" si="16"/>
        <v>0.18064551948772994</v>
      </c>
      <c r="V107" s="376"/>
    </row>
    <row r="108" spans="1:22" ht="44.25" customHeight="1">
      <c r="A108" s="292"/>
      <c r="B108" s="137" t="s">
        <v>440</v>
      </c>
      <c r="C108" s="20"/>
      <c r="D108" s="20"/>
      <c r="E108" s="20">
        <v>2889</v>
      </c>
      <c r="F108" s="82"/>
      <c r="G108" s="90"/>
      <c r="H108" s="91"/>
      <c r="I108" s="92"/>
      <c r="J108" s="18"/>
      <c r="K108" s="18"/>
      <c r="L108" s="18"/>
      <c r="M108" s="18"/>
      <c r="N108" s="18"/>
      <c r="O108" s="18"/>
      <c r="P108" s="7"/>
      <c r="Q108" s="7"/>
      <c r="R108" s="7"/>
      <c r="S108" s="7">
        <v>18012</v>
      </c>
      <c r="T108" s="123">
        <v>3254</v>
      </c>
      <c r="U108" s="385">
        <f t="shared" si="16"/>
        <v>0.18065733955141017</v>
      </c>
      <c r="V108" s="376"/>
    </row>
    <row r="109" spans="1:22" ht="15" customHeight="1">
      <c r="A109" s="289" t="s">
        <v>343</v>
      </c>
      <c r="B109" s="254" t="s">
        <v>401</v>
      </c>
      <c r="C109" s="255" t="s">
        <v>92</v>
      </c>
      <c r="D109" s="255"/>
      <c r="E109" s="255"/>
      <c r="F109" s="262"/>
      <c r="G109" s="260"/>
      <c r="H109" s="256"/>
      <c r="I109" s="261"/>
      <c r="J109" s="243"/>
      <c r="K109" s="243"/>
      <c r="L109" s="243"/>
      <c r="M109" s="243"/>
      <c r="N109" s="243"/>
      <c r="O109" s="243"/>
      <c r="P109" s="243">
        <f>P110</f>
        <v>8070</v>
      </c>
      <c r="Q109" s="243">
        <f>Q110</f>
        <v>0</v>
      </c>
      <c r="R109" s="243">
        <f>R110</f>
        <v>0</v>
      </c>
      <c r="S109" s="243">
        <f>S110+S116</f>
        <v>3221476</v>
      </c>
      <c r="T109" s="243">
        <f>T110+T116</f>
        <v>148701</v>
      </c>
      <c r="U109" s="383">
        <f t="shared" si="16"/>
        <v>0.046159276058552044</v>
      </c>
      <c r="V109" s="381"/>
    </row>
    <row r="110" spans="1:22" s="85" customFormat="1" ht="16.5" customHeight="1">
      <c r="A110" s="292" t="s">
        <v>362</v>
      </c>
      <c r="B110" s="27" t="s">
        <v>95</v>
      </c>
      <c r="C110" s="29"/>
      <c r="D110" s="29" t="s">
        <v>94</v>
      </c>
      <c r="E110" s="29"/>
      <c r="F110" s="82"/>
      <c r="G110" s="90"/>
      <c r="H110" s="91"/>
      <c r="I110" s="92"/>
      <c r="J110" s="18"/>
      <c r="K110" s="18"/>
      <c r="L110" s="18"/>
      <c r="M110" s="18"/>
      <c r="N110" s="18"/>
      <c r="O110" s="18"/>
      <c r="P110" s="18">
        <f>P112</f>
        <v>8070</v>
      </c>
      <c r="Q110" s="18">
        <f>Q112</f>
        <v>0</v>
      </c>
      <c r="R110" s="18">
        <f>R112</f>
        <v>0</v>
      </c>
      <c r="S110" s="18">
        <f>S111+S112+S113+S114+S115</f>
        <v>2676476</v>
      </c>
      <c r="T110" s="18">
        <f>T111+T112+T113+T114+T115</f>
        <v>12450</v>
      </c>
      <c r="U110" s="385">
        <f t="shared" si="16"/>
        <v>0.0046516389461366365</v>
      </c>
      <c r="V110" s="376"/>
    </row>
    <row r="111" spans="1:22" ht="25.5" customHeight="1">
      <c r="A111" s="294"/>
      <c r="B111" s="27" t="s">
        <v>278</v>
      </c>
      <c r="C111" s="16"/>
      <c r="D111" s="25"/>
      <c r="E111" s="29" t="s">
        <v>279</v>
      </c>
      <c r="F111" s="82"/>
      <c r="G111" s="90"/>
      <c r="H111" s="91"/>
      <c r="I111" s="92"/>
      <c r="J111" s="18"/>
      <c r="K111" s="18"/>
      <c r="L111" s="18"/>
      <c r="M111" s="18"/>
      <c r="N111" s="18"/>
      <c r="O111" s="18"/>
      <c r="P111" s="18"/>
      <c r="Q111" s="18"/>
      <c r="R111" s="18"/>
      <c r="S111" s="18">
        <v>60006</v>
      </c>
      <c r="T111" s="342">
        <v>0</v>
      </c>
      <c r="U111" s="385">
        <f t="shared" si="16"/>
        <v>0</v>
      </c>
      <c r="V111" s="376"/>
    </row>
    <row r="112" spans="1:22" ht="26.25" customHeight="1">
      <c r="A112" s="127"/>
      <c r="B112" s="10" t="s">
        <v>157</v>
      </c>
      <c r="C112" s="16"/>
      <c r="D112" s="16"/>
      <c r="E112" s="16" t="s">
        <v>499</v>
      </c>
      <c r="F112" s="4"/>
      <c r="G112" s="89"/>
      <c r="H112" s="87"/>
      <c r="I112" s="5"/>
      <c r="J112" s="7"/>
      <c r="K112" s="7"/>
      <c r="L112" s="7"/>
      <c r="M112" s="7"/>
      <c r="N112" s="7"/>
      <c r="O112" s="7"/>
      <c r="P112" s="7">
        <v>8070</v>
      </c>
      <c r="Q112" s="7">
        <v>0</v>
      </c>
      <c r="R112" s="7">
        <v>0</v>
      </c>
      <c r="S112" s="7">
        <v>54120</v>
      </c>
      <c r="T112" s="123">
        <v>12450</v>
      </c>
      <c r="U112" s="385">
        <f t="shared" si="16"/>
        <v>0.23004434589800443</v>
      </c>
      <c r="V112" s="376"/>
    </row>
    <row r="113" spans="1:22" ht="24" customHeight="1">
      <c r="A113" s="292"/>
      <c r="B113" s="274" t="s">
        <v>555</v>
      </c>
      <c r="C113" s="29"/>
      <c r="D113" s="29"/>
      <c r="E113" s="29" t="s">
        <v>281</v>
      </c>
      <c r="F113" s="18"/>
      <c r="G113" s="18"/>
      <c r="H113" s="91"/>
      <c r="I113" s="91"/>
      <c r="J113" s="18"/>
      <c r="K113" s="18"/>
      <c r="L113" s="18"/>
      <c r="M113" s="18"/>
      <c r="N113" s="18"/>
      <c r="O113" s="18"/>
      <c r="P113" s="167"/>
      <c r="Q113" s="167"/>
      <c r="R113" s="167"/>
      <c r="S113" s="167">
        <v>1801762</v>
      </c>
      <c r="T113" s="340">
        <v>0</v>
      </c>
      <c r="U113" s="385">
        <f t="shared" si="16"/>
        <v>0</v>
      </c>
      <c r="V113" s="376"/>
    </row>
    <row r="114" spans="1:22" ht="21.75" customHeight="1">
      <c r="A114" s="292"/>
      <c r="B114" s="274" t="s">
        <v>555</v>
      </c>
      <c r="C114" s="29"/>
      <c r="D114" s="29"/>
      <c r="E114" s="29" t="s">
        <v>487</v>
      </c>
      <c r="F114" s="18"/>
      <c r="G114" s="18"/>
      <c r="H114" s="91"/>
      <c r="I114" s="91"/>
      <c r="J114" s="18"/>
      <c r="K114" s="18"/>
      <c r="L114" s="18"/>
      <c r="M114" s="18"/>
      <c r="N114" s="18"/>
      <c r="O114" s="18"/>
      <c r="P114" s="167"/>
      <c r="Q114" s="167"/>
      <c r="R114" s="167"/>
      <c r="S114" s="167">
        <v>349000</v>
      </c>
      <c r="T114" s="340">
        <v>0</v>
      </c>
      <c r="U114" s="385">
        <f t="shared" si="16"/>
        <v>0</v>
      </c>
      <c r="V114" s="376"/>
    </row>
    <row r="115" spans="1:22" ht="24.75" customHeight="1">
      <c r="A115" s="294"/>
      <c r="B115" s="27" t="s">
        <v>434</v>
      </c>
      <c r="C115" s="31"/>
      <c r="D115" s="50"/>
      <c r="E115" s="20">
        <v>6619</v>
      </c>
      <c r="F115" s="82"/>
      <c r="G115" s="90"/>
      <c r="H115" s="91"/>
      <c r="I115" s="92"/>
      <c r="J115" s="18"/>
      <c r="K115" s="18"/>
      <c r="L115" s="18"/>
      <c r="M115" s="18"/>
      <c r="N115" s="18"/>
      <c r="O115" s="18"/>
      <c r="P115" s="18"/>
      <c r="Q115" s="18"/>
      <c r="R115" s="18"/>
      <c r="S115" s="205">
        <v>411588</v>
      </c>
      <c r="T115" s="341">
        <v>0</v>
      </c>
      <c r="U115" s="385">
        <f t="shared" si="16"/>
        <v>0</v>
      </c>
      <c r="V115" s="376"/>
    </row>
    <row r="116" spans="1:22" ht="25.5" customHeight="1">
      <c r="A116" s="127" t="s">
        <v>366</v>
      </c>
      <c r="B116" s="10" t="s">
        <v>407</v>
      </c>
      <c r="C116" s="31"/>
      <c r="D116" s="31">
        <v>85156</v>
      </c>
      <c r="E116" s="7"/>
      <c r="F116" s="4"/>
      <c r="G116" s="89">
        <v>2010880</v>
      </c>
      <c r="H116" s="87"/>
      <c r="I116" s="5"/>
      <c r="J116" s="7"/>
      <c r="K116" s="7">
        <v>0</v>
      </c>
      <c r="L116" s="7">
        <v>0</v>
      </c>
      <c r="M116" s="7">
        <v>567150</v>
      </c>
      <c r="N116" s="7">
        <v>0</v>
      </c>
      <c r="O116" s="7">
        <v>70165</v>
      </c>
      <c r="P116" s="7">
        <v>363000</v>
      </c>
      <c r="Q116" s="7">
        <v>0</v>
      </c>
      <c r="R116" s="7">
        <v>0</v>
      </c>
      <c r="S116" s="7">
        <f>S117</f>
        <v>545000</v>
      </c>
      <c r="T116" s="7">
        <f>T117</f>
        <v>136251</v>
      </c>
      <c r="U116" s="385">
        <f t="shared" si="16"/>
        <v>0.2500018348623853</v>
      </c>
      <c r="V116" s="376"/>
    </row>
    <row r="117" spans="1:22" ht="25.5" customHeight="1">
      <c r="A117" s="127"/>
      <c r="B117" s="10" t="s">
        <v>474</v>
      </c>
      <c r="C117" s="31"/>
      <c r="D117" s="31"/>
      <c r="E117" s="31">
        <v>2110</v>
      </c>
      <c r="F117" s="4"/>
      <c r="G117" s="89"/>
      <c r="H117" s="87"/>
      <c r="I117" s="5"/>
      <c r="J117" s="7"/>
      <c r="K117" s="7"/>
      <c r="L117" s="7"/>
      <c r="M117" s="7"/>
      <c r="N117" s="7"/>
      <c r="O117" s="7"/>
      <c r="P117" s="7"/>
      <c r="Q117" s="7"/>
      <c r="R117" s="7"/>
      <c r="S117" s="7">
        <v>545000</v>
      </c>
      <c r="T117" s="123">
        <v>136251</v>
      </c>
      <c r="U117" s="385">
        <f t="shared" si="16"/>
        <v>0.2500018348623853</v>
      </c>
      <c r="V117" s="376"/>
    </row>
    <row r="118" spans="1:22" ht="29.25" customHeight="1">
      <c r="A118" s="289" t="s">
        <v>475</v>
      </c>
      <c r="B118" s="254" t="s">
        <v>28</v>
      </c>
      <c r="C118" s="251">
        <v>852</v>
      </c>
      <c r="D118" s="251"/>
      <c r="E118" s="251"/>
      <c r="F118" s="262"/>
      <c r="G118" s="260"/>
      <c r="H118" s="256"/>
      <c r="I118" s="261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>
        <f>S119+S123+S129+S132</f>
        <v>1076053</v>
      </c>
      <c r="T118" s="243">
        <f>T119+T123+T129+T132</f>
        <v>305606</v>
      </c>
      <c r="U118" s="383">
        <f t="shared" si="16"/>
        <v>0.2840064569310248</v>
      </c>
      <c r="V118" s="381"/>
    </row>
    <row r="119" spans="1:22" s="85" customFormat="1" ht="26.25" customHeight="1">
      <c r="A119" s="292" t="s">
        <v>362</v>
      </c>
      <c r="B119" s="27" t="s">
        <v>246</v>
      </c>
      <c r="C119" s="29"/>
      <c r="D119" s="29" t="s">
        <v>29</v>
      </c>
      <c r="E119" s="29"/>
      <c r="F119" s="82" t="e">
        <f>#REF!+#REF!+#REF!+#REF!+F121</f>
        <v>#REF!</v>
      </c>
      <c r="G119" s="90" t="e">
        <f>#REF!+#REF!+#REF!+#REF!+G121+#REF!</f>
        <v>#REF!</v>
      </c>
      <c r="H119" s="91" t="e">
        <f>IF(F119&gt;0,G119/F119*100,"")</f>
        <v>#REF!</v>
      </c>
      <c r="I119" s="92" t="e">
        <f>F119/F171</f>
        <v>#REF!</v>
      </c>
      <c r="J119" s="18"/>
      <c r="K119" s="18" t="e">
        <f>#REF!+#REF!+#REF!+#REF!+K121+#REF!</f>
        <v>#REF!</v>
      </c>
      <c r="L119" s="18" t="e">
        <f>#REF!+#REF!+#REF!+#REF!+L121++#REF!</f>
        <v>#REF!</v>
      </c>
      <c r="M119" s="18" t="e">
        <f>#REF!+#REF!+#REF!+#REF!+M121+#REF!</f>
        <v>#REF!</v>
      </c>
      <c r="N119" s="18" t="e">
        <f>#REF!+#REF!+#REF!+#REF!+N121+#REF!</f>
        <v>#REF!</v>
      </c>
      <c r="O119" s="18" t="e">
        <f>#REF!+#REF!+#REF!+#REF!+O121+#REF!</f>
        <v>#REF!</v>
      </c>
      <c r="P119" s="167" t="e">
        <f>#REF!+P121</f>
        <v>#REF!</v>
      </c>
      <c r="Q119" s="167" t="e">
        <f>#REF!+Q121</f>
        <v>#REF!</v>
      </c>
      <c r="R119" s="167" t="e">
        <f>#REF!+R121</f>
        <v>#REF!</v>
      </c>
      <c r="S119" s="167">
        <f>S120+S121+S122</f>
        <v>240021</v>
      </c>
      <c r="T119" s="167">
        <f>T120+T121+T122</f>
        <v>64730</v>
      </c>
      <c r="U119" s="385">
        <f t="shared" si="16"/>
        <v>0.26968473591894043</v>
      </c>
      <c r="V119" s="376"/>
    </row>
    <row r="120" spans="1:22" ht="23.25" customHeight="1">
      <c r="A120" s="294"/>
      <c r="B120" s="10" t="s">
        <v>186</v>
      </c>
      <c r="C120" s="25"/>
      <c r="D120" s="25"/>
      <c r="E120" s="29" t="s">
        <v>187</v>
      </c>
      <c r="F120" s="82"/>
      <c r="G120" s="90"/>
      <c r="H120" s="91"/>
      <c r="I120" s="92"/>
      <c r="J120" s="18"/>
      <c r="K120" s="18"/>
      <c r="L120" s="18"/>
      <c r="M120" s="18"/>
      <c r="N120" s="18"/>
      <c r="O120" s="18"/>
      <c r="P120" s="167"/>
      <c r="Q120" s="167"/>
      <c r="R120" s="167"/>
      <c r="S120" s="167">
        <v>300</v>
      </c>
      <c r="T120" s="340">
        <v>673</v>
      </c>
      <c r="U120" s="385">
        <f t="shared" si="16"/>
        <v>2.243333333333333</v>
      </c>
      <c r="V120" s="376"/>
    </row>
    <row r="121" spans="1:22" ht="14.25" customHeight="1">
      <c r="A121" s="294"/>
      <c r="B121" s="18" t="s">
        <v>364</v>
      </c>
      <c r="C121" s="16"/>
      <c r="D121" s="16"/>
      <c r="E121" s="16" t="s">
        <v>497</v>
      </c>
      <c r="F121" s="4">
        <v>4000</v>
      </c>
      <c r="G121" s="90">
        <v>6000</v>
      </c>
      <c r="H121" s="87">
        <f>IF(F121&gt;0,G121/F121*100,"")</f>
        <v>150</v>
      </c>
      <c r="I121" s="5" t="e">
        <f>F121/F171</f>
        <v>#REF!</v>
      </c>
      <c r="J121" s="7"/>
      <c r="K121" s="7">
        <v>0</v>
      </c>
      <c r="L121" s="7">
        <v>0</v>
      </c>
      <c r="M121" s="7">
        <v>2500</v>
      </c>
      <c r="N121" s="7">
        <v>0</v>
      </c>
      <c r="O121" s="7">
        <v>0</v>
      </c>
      <c r="P121" s="7">
        <v>350</v>
      </c>
      <c r="Q121" s="7">
        <v>0</v>
      </c>
      <c r="R121" s="7">
        <v>0</v>
      </c>
      <c r="S121" s="7">
        <v>200</v>
      </c>
      <c r="T121" s="123">
        <v>27</v>
      </c>
      <c r="U121" s="385">
        <f t="shared" si="16"/>
        <v>0.135</v>
      </c>
      <c r="V121" s="376"/>
    </row>
    <row r="122" spans="1:22" s="34" customFormat="1" ht="24.75" customHeight="1">
      <c r="A122" s="294"/>
      <c r="B122" s="27" t="s">
        <v>476</v>
      </c>
      <c r="C122" s="50"/>
      <c r="D122" s="20"/>
      <c r="E122" s="20">
        <v>2320</v>
      </c>
      <c r="F122" s="82"/>
      <c r="G122" s="90"/>
      <c r="H122" s="91"/>
      <c r="I122" s="92"/>
      <c r="J122" s="18"/>
      <c r="K122" s="18"/>
      <c r="L122" s="18"/>
      <c r="M122" s="18"/>
      <c r="N122" s="18"/>
      <c r="O122" s="18"/>
      <c r="P122" s="18"/>
      <c r="Q122" s="18"/>
      <c r="R122" s="18"/>
      <c r="S122" s="18">
        <v>239521</v>
      </c>
      <c r="T122" s="342">
        <v>64030</v>
      </c>
      <c r="U122" s="385">
        <f t="shared" si="16"/>
        <v>0.26732520321808945</v>
      </c>
      <c r="V122" s="376"/>
    </row>
    <row r="123" spans="1:22" s="85" customFormat="1" ht="15.75" customHeight="1">
      <c r="A123" s="292" t="s">
        <v>366</v>
      </c>
      <c r="B123" s="18" t="s">
        <v>108</v>
      </c>
      <c r="C123" s="29"/>
      <c r="D123" s="29" t="s">
        <v>30</v>
      </c>
      <c r="E123" s="29"/>
      <c r="F123" s="82">
        <f>F124+F126</f>
        <v>159900</v>
      </c>
      <c r="G123" s="90">
        <f>G124+G126</f>
        <v>170000</v>
      </c>
      <c r="H123" s="91">
        <f>IF(F123&gt;0,G123/F123*100,"")</f>
        <v>106.31644777986241</v>
      </c>
      <c r="I123" s="92" t="e">
        <f>F123/F171</f>
        <v>#REF!</v>
      </c>
      <c r="J123" s="18"/>
      <c r="K123" s="18">
        <f>K124+K126</f>
        <v>6500</v>
      </c>
      <c r="L123" s="18">
        <f>L124+L126</f>
        <v>500</v>
      </c>
      <c r="M123" s="18">
        <f>M124+M126</f>
        <v>180500</v>
      </c>
      <c r="N123" s="18">
        <f>N124+N126</f>
        <v>0</v>
      </c>
      <c r="O123" s="18">
        <f>O124+O126</f>
        <v>0</v>
      </c>
      <c r="P123" s="167">
        <f>P124+P126+P127</f>
        <v>182200</v>
      </c>
      <c r="Q123" s="167">
        <f>Q124+Q126+Q127</f>
        <v>0</v>
      </c>
      <c r="R123" s="167">
        <f>R124+R126+R127</f>
        <v>0</v>
      </c>
      <c r="S123" s="167">
        <f>S124+S125+S126+S127+S128</f>
        <v>807585</v>
      </c>
      <c r="T123" s="167">
        <f>T124+T125+T126+T127+T128</f>
        <v>225484</v>
      </c>
      <c r="U123" s="385">
        <f t="shared" si="16"/>
        <v>0.2792077614121114</v>
      </c>
      <c r="V123" s="376"/>
    </row>
    <row r="124" spans="1:22" ht="15.75" customHeight="1">
      <c r="A124" s="127"/>
      <c r="B124" s="7" t="s">
        <v>372</v>
      </c>
      <c r="C124" s="16"/>
      <c r="D124" s="16"/>
      <c r="E124" s="16" t="s">
        <v>500</v>
      </c>
      <c r="F124" s="4">
        <v>159000</v>
      </c>
      <c r="G124" s="89">
        <v>169000</v>
      </c>
      <c r="H124" s="87">
        <f>IF(F124&gt;0,G124/F124*100,"")</f>
        <v>106.28930817610063</v>
      </c>
      <c r="I124" s="5" t="e">
        <f>F124/F171</f>
        <v>#REF!</v>
      </c>
      <c r="J124" s="7"/>
      <c r="K124" s="7">
        <v>6500</v>
      </c>
      <c r="L124" s="7">
        <v>0</v>
      </c>
      <c r="M124" s="7">
        <v>180000</v>
      </c>
      <c r="N124" s="7">
        <v>0</v>
      </c>
      <c r="O124" s="7">
        <v>0</v>
      </c>
      <c r="P124" s="7">
        <v>182000</v>
      </c>
      <c r="Q124" s="7">
        <v>0</v>
      </c>
      <c r="R124" s="7">
        <v>0</v>
      </c>
      <c r="S124" s="7">
        <v>317085</v>
      </c>
      <c r="T124" s="123">
        <v>81711</v>
      </c>
      <c r="U124" s="385">
        <f t="shared" si="16"/>
        <v>0.25769430909692986</v>
      </c>
      <c r="V124" s="376"/>
    </row>
    <row r="125" spans="1:22" ht="15.75" customHeight="1">
      <c r="A125" s="127"/>
      <c r="B125" s="10" t="s">
        <v>156</v>
      </c>
      <c r="C125" s="16"/>
      <c r="D125" s="16"/>
      <c r="E125" s="16" t="s">
        <v>155</v>
      </c>
      <c r="F125" s="4"/>
      <c r="G125" s="89"/>
      <c r="H125" s="87"/>
      <c r="I125" s="5"/>
      <c r="J125" s="7"/>
      <c r="K125" s="7"/>
      <c r="L125" s="7"/>
      <c r="M125" s="7"/>
      <c r="N125" s="7"/>
      <c r="O125" s="7"/>
      <c r="P125" s="7"/>
      <c r="Q125" s="7"/>
      <c r="R125" s="7"/>
      <c r="S125" s="7">
        <v>0</v>
      </c>
      <c r="T125" s="123">
        <v>28</v>
      </c>
      <c r="U125" s="385">
        <v>0</v>
      </c>
      <c r="V125" s="376"/>
    </row>
    <row r="126" spans="1:22" ht="15" customHeight="1">
      <c r="A126" s="127"/>
      <c r="B126" s="10" t="s">
        <v>364</v>
      </c>
      <c r="C126" s="16"/>
      <c r="D126" s="16"/>
      <c r="E126" s="16" t="s">
        <v>497</v>
      </c>
      <c r="F126" s="4">
        <v>900</v>
      </c>
      <c r="G126" s="89">
        <v>1000</v>
      </c>
      <c r="H126" s="87">
        <f>IF(F126&gt;0,G126/F126*100,"")</f>
        <v>111.11111111111111</v>
      </c>
      <c r="I126" s="87" t="e">
        <f>F126/F171</f>
        <v>#REF!</v>
      </c>
      <c r="J126" s="7"/>
      <c r="K126" s="7">
        <v>0</v>
      </c>
      <c r="L126" s="7">
        <v>500</v>
      </c>
      <c r="M126" s="7">
        <v>500</v>
      </c>
      <c r="N126" s="7">
        <v>0</v>
      </c>
      <c r="O126" s="7">
        <v>0</v>
      </c>
      <c r="P126" s="7">
        <v>50</v>
      </c>
      <c r="Q126" s="7">
        <v>0</v>
      </c>
      <c r="R126" s="7">
        <v>0</v>
      </c>
      <c r="S126" s="7">
        <v>500</v>
      </c>
      <c r="T126" s="123">
        <v>23</v>
      </c>
      <c r="U126" s="385">
        <f t="shared" si="16"/>
        <v>0.046</v>
      </c>
      <c r="V126" s="376"/>
    </row>
    <row r="127" spans="1:22" ht="15.75" customHeight="1">
      <c r="A127" s="127"/>
      <c r="B127" s="10" t="s">
        <v>390</v>
      </c>
      <c r="C127" s="16"/>
      <c r="D127" s="16"/>
      <c r="E127" s="16" t="s">
        <v>501</v>
      </c>
      <c r="F127" s="4"/>
      <c r="G127" s="89"/>
      <c r="H127" s="87"/>
      <c r="I127" s="87"/>
      <c r="J127" s="7"/>
      <c r="K127" s="7"/>
      <c r="L127" s="7"/>
      <c r="M127" s="7"/>
      <c r="N127" s="7"/>
      <c r="O127" s="7"/>
      <c r="P127" s="7">
        <v>150</v>
      </c>
      <c r="Q127" s="7">
        <v>0</v>
      </c>
      <c r="R127" s="7">
        <v>0</v>
      </c>
      <c r="S127" s="7">
        <v>0</v>
      </c>
      <c r="T127" s="123">
        <v>0</v>
      </c>
      <c r="U127" s="385">
        <v>0</v>
      </c>
      <c r="V127" s="376"/>
    </row>
    <row r="128" spans="1:22" ht="24" customHeight="1">
      <c r="A128" s="127"/>
      <c r="B128" s="10" t="s">
        <v>477</v>
      </c>
      <c r="C128" s="31"/>
      <c r="D128" s="50"/>
      <c r="E128" s="20">
        <v>2130</v>
      </c>
      <c r="F128" s="8" t="e">
        <f>#REF!</f>
        <v>#REF!</v>
      </c>
      <c r="G128" s="88" t="e">
        <f>#REF!</f>
        <v>#REF!</v>
      </c>
      <c r="H128" s="86" t="e">
        <f>IF(F128&gt;0,G128/F128*100,"")</f>
        <v>#REF!</v>
      </c>
      <c r="I128" s="86" t="e">
        <f>F128/F171</f>
        <v>#REF!</v>
      </c>
      <c r="J128" s="6"/>
      <c r="K128" s="6" t="e">
        <f>#REF!</f>
        <v>#REF!</v>
      </c>
      <c r="L128" s="6" t="e">
        <f>#REF!</f>
        <v>#REF!</v>
      </c>
      <c r="M128" s="6" t="e">
        <f>#REF!</f>
        <v>#REF!</v>
      </c>
      <c r="N128" s="6" t="e">
        <f>#REF!</f>
        <v>#REF!</v>
      </c>
      <c r="O128" s="6" t="e">
        <f>#REF!</f>
        <v>#REF!</v>
      </c>
      <c r="P128" s="96" t="e">
        <f>#REF!</f>
        <v>#REF!</v>
      </c>
      <c r="Q128" s="96" t="e">
        <f>#REF!</f>
        <v>#REF!</v>
      </c>
      <c r="R128" s="96" t="e">
        <f>#REF!</f>
        <v>#REF!</v>
      </c>
      <c r="S128" s="167">
        <v>490000</v>
      </c>
      <c r="T128" s="340">
        <v>143722</v>
      </c>
      <c r="U128" s="385">
        <f t="shared" si="16"/>
        <v>0.29331020408163266</v>
      </c>
      <c r="V128" s="376"/>
    </row>
    <row r="129" spans="1:22" s="85" customFormat="1" ht="18" customHeight="1">
      <c r="A129" s="292" t="s">
        <v>400</v>
      </c>
      <c r="B129" s="27" t="s">
        <v>247</v>
      </c>
      <c r="C129" s="29"/>
      <c r="D129" s="29" t="s">
        <v>35</v>
      </c>
      <c r="E129" s="29"/>
      <c r="F129" s="82"/>
      <c r="G129" s="90"/>
      <c r="H129" s="91"/>
      <c r="I129" s="91"/>
      <c r="J129" s="18"/>
      <c r="K129" s="18"/>
      <c r="L129" s="18"/>
      <c r="M129" s="18"/>
      <c r="N129" s="18"/>
      <c r="O129" s="18"/>
      <c r="P129" s="18"/>
      <c r="Q129" s="18"/>
      <c r="R129" s="18"/>
      <c r="S129" s="18">
        <f>S130+S131</f>
        <v>28447</v>
      </c>
      <c r="T129" s="18">
        <f>T130+T131</f>
        <v>15351</v>
      </c>
      <c r="U129" s="385">
        <f t="shared" si="16"/>
        <v>0.5396351109080043</v>
      </c>
      <c r="V129" s="376"/>
    </row>
    <row r="130" spans="1:22" ht="24" customHeight="1">
      <c r="A130" s="127"/>
      <c r="B130" s="10" t="s">
        <v>186</v>
      </c>
      <c r="C130" s="16"/>
      <c r="D130" s="16"/>
      <c r="E130" s="16" t="s">
        <v>187</v>
      </c>
      <c r="F130" s="4"/>
      <c r="G130" s="89"/>
      <c r="H130" s="87"/>
      <c r="I130" s="87"/>
      <c r="J130" s="7"/>
      <c r="K130" s="7"/>
      <c r="L130" s="7"/>
      <c r="M130" s="7"/>
      <c r="N130" s="7"/>
      <c r="O130" s="7"/>
      <c r="P130" s="7"/>
      <c r="Q130" s="7"/>
      <c r="R130" s="7"/>
      <c r="S130" s="7">
        <v>700</v>
      </c>
      <c r="T130" s="123">
        <v>276</v>
      </c>
      <c r="U130" s="385">
        <f t="shared" si="16"/>
        <v>0.3942857142857143</v>
      </c>
      <c r="V130" s="376"/>
    </row>
    <row r="131" spans="1:22" ht="24.75" customHeight="1">
      <c r="A131" s="127"/>
      <c r="B131" s="27" t="s">
        <v>476</v>
      </c>
      <c r="C131" s="16"/>
      <c r="D131" s="16"/>
      <c r="E131" s="16" t="s">
        <v>83</v>
      </c>
      <c r="F131" s="7"/>
      <c r="G131" s="7"/>
      <c r="H131" s="87"/>
      <c r="I131" s="87"/>
      <c r="J131" s="7"/>
      <c r="K131" s="7"/>
      <c r="L131" s="7"/>
      <c r="M131" s="7"/>
      <c r="N131" s="7"/>
      <c r="O131" s="7"/>
      <c r="P131" s="7"/>
      <c r="Q131" s="7"/>
      <c r="R131" s="7"/>
      <c r="S131" s="7">
        <v>27747</v>
      </c>
      <c r="T131" s="123">
        <v>15075</v>
      </c>
      <c r="U131" s="385">
        <f t="shared" si="16"/>
        <v>0.5433019785922802</v>
      </c>
      <c r="V131" s="376"/>
    </row>
    <row r="132" spans="1:22" s="85" customFormat="1" ht="16.5" customHeight="1">
      <c r="A132" s="292" t="s">
        <v>402</v>
      </c>
      <c r="B132" s="27" t="s">
        <v>280</v>
      </c>
      <c r="C132" s="29"/>
      <c r="D132" s="29" t="s">
        <v>31</v>
      </c>
      <c r="E132" s="29"/>
      <c r="F132" s="18"/>
      <c r="G132" s="18"/>
      <c r="H132" s="91"/>
      <c r="I132" s="91"/>
      <c r="J132" s="18"/>
      <c r="K132" s="18"/>
      <c r="L132" s="18"/>
      <c r="M132" s="18"/>
      <c r="N132" s="18"/>
      <c r="O132" s="18"/>
      <c r="P132" s="18"/>
      <c r="Q132" s="18"/>
      <c r="R132" s="18"/>
      <c r="S132" s="18">
        <f>S133</f>
        <v>0</v>
      </c>
      <c r="T132" s="18">
        <f>T133</f>
        <v>41</v>
      </c>
      <c r="U132" s="385">
        <v>0</v>
      </c>
      <c r="V132" s="376"/>
    </row>
    <row r="133" spans="1:22" ht="15.75" customHeight="1">
      <c r="A133" s="127"/>
      <c r="B133" s="10" t="s">
        <v>364</v>
      </c>
      <c r="C133" s="16"/>
      <c r="D133" s="16"/>
      <c r="E133" s="16" t="s">
        <v>497</v>
      </c>
      <c r="F133" s="7"/>
      <c r="G133" s="7"/>
      <c r="H133" s="87"/>
      <c r="I133" s="87"/>
      <c r="J133" s="7"/>
      <c r="K133" s="7"/>
      <c r="L133" s="7"/>
      <c r="M133" s="7"/>
      <c r="N133" s="7"/>
      <c r="O133" s="7"/>
      <c r="P133" s="7"/>
      <c r="Q133" s="7"/>
      <c r="R133" s="7"/>
      <c r="S133" s="7">
        <v>0</v>
      </c>
      <c r="T133" s="123">
        <v>41</v>
      </c>
      <c r="U133" s="385">
        <v>0</v>
      </c>
      <c r="V133" s="376"/>
    </row>
    <row r="134" spans="1:22" ht="25.5" customHeight="1">
      <c r="A134" s="289">
        <v>10</v>
      </c>
      <c r="B134" s="254" t="s">
        <v>32</v>
      </c>
      <c r="C134" s="255" t="s">
        <v>101</v>
      </c>
      <c r="D134" s="255"/>
      <c r="E134" s="255"/>
      <c r="F134" s="243"/>
      <c r="G134" s="243"/>
      <c r="H134" s="256"/>
      <c r="I134" s="256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>
        <f>S135+S139</f>
        <v>649014</v>
      </c>
      <c r="T134" s="243">
        <f>T135+T139</f>
        <v>485101</v>
      </c>
      <c r="U134" s="383">
        <f t="shared" si="16"/>
        <v>0.7474430443719242</v>
      </c>
      <c r="V134" s="381"/>
    </row>
    <row r="135" spans="1:22" s="85" customFormat="1" ht="15.75" customHeight="1">
      <c r="A135" s="292" t="s">
        <v>362</v>
      </c>
      <c r="B135" s="27" t="s">
        <v>403</v>
      </c>
      <c r="C135" s="29"/>
      <c r="D135" s="29" t="s">
        <v>114</v>
      </c>
      <c r="E135" s="29"/>
      <c r="F135" s="18">
        <f>F136</f>
        <v>19873</v>
      </c>
      <c r="G135" s="18">
        <f>G136</f>
        <v>20000</v>
      </c>
      <c r="H135" s="91">
        <f>G135/F135*100</f>
        <v>100.63905801841695</v>
      </c>
      <c r="I135" s="91" t="e">
        <f>F135/F178</f>
        <v>#DIV/0!</v>
      </c>
      <c r="J135" s="18"/>
      <c r="K135" s="18">
        <f aca="true" t="shared" si="18" ref="K135:R135">K136</f>
        <v>0</v>
      </c>
      <c r="L135" s="18">
        <f t="shared" si="18"/>
        <v>0</v>
      </c>
      <c r="M135" s="18">
        <f t="shared" si="18"/>
        <v>12412</v>
      </c>
      <c r="N135" s="18">
        <f t="shared" si="18"/>
        <v>0</v>
      </c>
      <c r="O135" s="18">
        <f t="shared" si="18"/>
        <v>0</v>
      </c>
      <c r="P135" s="167">
        <f t="shared" si="18"/>
        <v>12412</v>
      </c>
      <c r="Q135" s="167">
        <f t="shared" si="18"/>
        <v>0</v>
      </c>
      <c r="R135" s="167">
        <f t="shared" si="18"/>
        <v>0</v>
      </c>
      <c r="S135" s="167">
        <f>S136+S137+S138</f>
        <v>494004</v>
      </c>
      <c r="T135" s="167">
        <f>T136+T137+T138</f>
        <v>449984</v>
      </c>
      <c r="U135" s="385">
        <f t="shared" si="16"/>
        <v>0.9108914097861556</v>
      </c>
      <c r="V135" s="376"/>
    </row>
    <row r="136" spans="1:22" ht="17.25" customHeight="1">
      <c r="A136" s="127"/>
      <c r="B136" s="10" t="s">
        <v>390</v>
      </c>
      <c r="C136" s="16"/>
      <c r="D136" s="16"/>
      <c r="E136" s="16" t="s">
        <v>501</v>
      </c>
      <c r="F136" s="7">
        <v>19873</v>
      </c>
      <c r="G136" s="7">
        <v>20000</v>
      </c>
      <c r="H136" s="87">
        <f>G136/F136*100</f>
        <v>100.63905801841695</v>
      </c>
      <c r="I136" s="87" t="e">
        <f>F136/F178</f>
        <v>#DIV/0!</v>
      </c>
      <c r="J136" s="7"/>
      <c r="K136" s="7">
        <v>0</v>
      </c>
      <c r="L136" s="7">
        <v>0</v>
      </c>
      <c r="M136" s="7">
        <v>12412</v>
      </c>
      <c r="N136" s="7">
        <v>0</v>
      </c>
      <c r="O136" s="7">
        <v>0</v>
      </c>
      <c r="P136" s="7">
        <v>12412</v>
      </c>
      <c r="Q136" s="7">
        <v>0</v>
      </c>
      <c r="R136" s="7">
        <v>0</v>
      </c>
      <c r="S136" s="7">
        <v>20491</v>
      </c>
      <c r="T136" s="123">
        <v>2984</v>
      </c>
      <c r="U136" s="385">
        <f t="shared" si="16"/>
        <v>0.14562490849641305</v>
      </c>
      <c r="V136" s="376"/>
    </row>
    <row r="137" spans="1:22" ht="23.25" customHeight="1">
      <c r="A137" s="127"/>
      <c r="B137" s="137" t="s">
        <v>286</v>
      </c>
      <c r="C137" s="16"/>
      <c r="D137" s="16"/>
      <c r="E137" s="16" t="s">
        <v>335</v>
      </c>
      <c r="F137" s="7"/>
      <c r="G137" s="7"/>
      <c r="H137" s="87"/>
      <c r="I137" s="87"/>
      <c r="J137" s="7"/>
      <c r="K137" s="7"/>
      <c r="L137" s="7"/>
      <c r="M137" s="7"/>
      <c r="N137" s="7"/>
      <c r="O137" s="7"/>
      <c r="P137" s="7"/>
      <c r="Q137" s="7"/>
      <c r="R137" s="7"/>
      <c r="S137" s="7">
        <v>54115</v>
      </c>
      <c r="T137" s="123">
        <v>53307</v>
      </c>
      <c r="U137" s="385">
        <f t="shared" si="16"/>
        <v>0.985068834888663</v>
      </c>
      <c r="V137" s="376"/>
    </row>
    <row r="138" spans="1:22" ht="21.75" customHeight="1">
      <c r="A138" s="127"/>
      <c r="B138" s="137" t="s">
        <v>285</v>
      </c>
      <c r="C138" s="16"/>
      <c r="D138" s="16"/>
      <c r="E138" s="16" t="s">
        <v>334</v>
      </c>
      <c r="F138" s="7"/>
      <c r="G138" s="7"/>
      <c r="H138" s="87"/>
      <c r="I138" s="87"/>
      <c r="J138" s="7"/>
      <c r="K138" s="7"/>
      <c r="L138" s="7"/>
      <c r="M138" s="7"/>
      <c r="N138" s="7"/>
      <c r="O138" s="7"/>
      <c r="P138" s="7"/>
      <c r="Q138" s="7"/>
      <c r="R138" s="7"/>
      <c r="S138" s="7">
        <v>419398</v>
      </c>
      <c r="T138" s="123">
        <v>393693</v>
      </c>
      <c r="U138" s="385">
        <f t="shared" si="16"/>
        <v>0.9387097697175475</v>
      </c>
      <c r="V138" s="376"/>
    </row>
    <row r="139" spans="1:22" s="85" customFormat="1" ht="18" customHeight="1">
      <c r="A139" s="292" t="s">
        <v>366</v>
      </c>
      <c r="B139" s="28" t="s">
        <v>120</v>
      </c>
      <c r="C139" s="29"/>
      <c r="D139" s="29" t="s">
        <v>119</v>
      </c>
      <c r="E139" s="29"/>
      <c r="F139" s="18" t="e">
        <f>#REF!</f>
        <v>#REF!</v>
      </c>
      <c r="G139" s="18" t="e">
        <f>#REF!</f>
        <v>#REF!</v>
      </c>
      <c r="H139" s="91" t="e">
        <f>IF(F139&gt;0,G139/F139*100,"")</f>
        <v>#REF!</v>
      </c>
      <c r="I139" s="91" t="e">
        <f>F139/F178</f>
        <v>#REF!</v>
      </c>
      <c r="J139" s="18"/>
      <c r="K139" s="18" t="e">
        <f>#REF!</f>
        <v>#REF!</v>
      </c>
      <c r="L139" s="18" t="e">
        <f>#REF!</f>
        <v>#REF!</v>
      </c>
      <c r="M139" s="18" t="e">
        <f>#REF!+M142</f>
        <v>#REF!</v>
      </c>
      <c r="N139" s="18" t="e">
        <f>#REF!+N142</f>
        <v>#REF!</v>
      </c>
      <c r="O139" s="18" t="e">
        <f>#REF!+O142</f>
        <v>#REF!</v>
      </c>
      <c r="P139" s="167" t="e">
        <f>#REF!+P142</f>
        <v>#REF!</v>
      </c>
      <c r="Q139" s="167" t="e">
        <f>#REF!+Q142</f>
        <v>#REF!</v>
      </c>
      <c r="R139" s="167" t="e">
        <f>#REF!+R142</f>
        <v>#REF!</v>
      </c>
      <c r="S139" s="167">
        <f>S140+S141+S142+S143</f>
        <v>155010</v>
      </c>
      <c r="T139" s="167">
        <f>T140+T141+T142+T143</f>
        <v>35117</v>
      </c>
      <c r="U139" s="385">
        <f t="shared" si="16"/>
        <v>0.2265466744081027</v>
      </c>
      <c r="V139" s="376"/>
    </row>
    <row r="140" spans="1:22" ht="25.5" customHeight="1">
      <c r="A140" s="294"/>
      <c r="B140" s="10" t="s">
        <v>371</v>
      </c>
      <c r="C140" s="25"/>
      <c r="D140" s="29"/>
      <c r="E140" s="29" t="s">
        <v>499</v>
      </c>
      <c r="F140" s="18"/>
      <c r="G140" s="18"/>
      <c r="H140" s="91"/>
      <c r="I140" s="91"/>
      <c r="J140" s="18"/>
      <c r="K140" s="18"/>
      <c r="L140" s="18"/>
      <c r="M140" s="18"/>
      <c r="N140" s="18"/>
      <c r="O140" s="18"/>
      <c r="P140" s="167"/>
      <c r="Q140" s="167"/>
      <c r="R140" s="167"/>
      <c r="S140" s="167">
        <v>0</v>
      </c>
      <c r="T140" s="340">
        <v>0</v>
      </c>
      <c r="U140" s="385">
        <v>0</v>
      </c>
      <c r="V140" s="376"/>
    </row>
    <row r="141" spans="1:22" ht="16.5" customHeight="1">
      <c r="A141" s="127"/>
      <c r="B141" s="10" t="s">
        <v>364</v>
      </c>
      <c r="C141" s="16"/>
      <c r="D141" s="16"/>
      <c r="E141" s="16" t="s">
        <v>497</v>
      </c>
      <c r="F141" s="7"/>
      <c r="G141" s="7"/>
      <c r="H141" s="87"/>
      <c r="I141" s="87"/>
      <c r="J141" s="7"/>
      <c r="K141" s="7"/>
      <c r="L141" s="7"/>
      <c r="M141" s="7"/>
      <c r="N141" s="7"/>
      <c r="O141" s="7"/>
      <c r="P141" s="7"/>
      <c r="Q141" s="7"/>
      <c r="R141" s="7"/>
      <c r="S141" s="7">
        <v>180</v>
      </c>
      <c r="T141" s="123">
        <v>17</v>
      </c>
      <c r="U141" s="385">
        <f>T141/S141*100%</f>
        <v>0.09444444444444444</v>
      </c>
      <c r="V141" s="376"/>
    </row>
    <row r="142" spans="1:22" ht="16.5" customHeight="1">
      <c r="A142" s="127"/>
      <c r="B142" s="10" t="s">
        <v>390</v>
      </c>
      <c r="C142" s="16"/>
      <c r="D142" s="16"/>
      <c r="E142" s="16" t="s">
        <v>501</v>
      </c>
      <c r="F142" s="7"/>
      <c r="G142" s="7"/>
      <c r="H142" s="87"/>
      <c r="I142" s="87"/>
      <c r="J142" s="7"/>
      <c r="K142" s="7"/>
      <c r="L142" s="7"/>
      <c r="M142" s="7">
        <v>30</v>
      </c>
      <c r="N142" s="7">
        <v>0</v>
      </c>
      <c r="O142" s="7">
        <v>0</v>
      </c>
      <c r="P142" s="7">
        <v>30</v>
      </c>
      <c r="Q142" s="7">
        <v>0</v>
      </c>
      <c r="R142" s="7">
        <v>0</v>
      </c>
      <c r="S142" s="7">
        <v>14030</v>
      </c>
      <c r="T142" s="123">
        <v>0</v>
      </c>
      <c r="U142" s="385">
        <f>T142/S142*100%</f>
        <v>0</v>
      </c>
      <c r="V142" s="376"/>
    </row>
    <row r="143" spans="1:23" ht="27.75" customHeight="1">
      <c r="A143" s="294"/>
      <c r="B143" s="137" t="s">
        <v>286</v>
      </c>
      <c r="C143" s="20"/>
      <c r="D143" s="20"/>
      <c r="E143" s="20">
        <v>2690</v>
      </c>
      <c r="F143" s="82"/>
      <c r="G143" s="90">
        <v>71700</v>
      </c>
      <c r="H143" s="91"/>
      <c r="I143" s="92"/>
      <c r="J143" s="18"/>
      <c r="K143" s="18">
        <v>0</v>
      </c>
      <c r="L143" s="18">
        <v>0</v>
      </c>
      <c r="M143" s="7">
        <v>48720</v>
      </c>
      <c r="N143" s="7">
        <v>0</v>
      </c>
      <c r="O143" s="7">
        <v>0</v>
      </c>
      <c r="P143" s="7">
        <v>15000</v>
      </c>
      <c r="Q143" s="7">
        <v>103519</v>
      </c>
      <c r="R143" s="7">
        <v>0</v>
      </c>
      <c r="S143" s="7">
        <v>140800</v>
      </c>
      <c r="T143" s="123">
        <v>35100</v>
      </c>
      <c r="U143" s="385">
        <f>T143/S143*100%</f>
        <v>0.24928977272727273</v>
      </c>
      <c r="V143" s="376"/>
      <c r="W143" s="80"/>
    </row>
    <row r="144" spans="1:22" ht="27.75" customHeight="1">
      <c r="A144" s="289" t="s">
        <v>478</v>
      </c>
      <c r="B144" s="265" t="s">
        <v>404</v>
      </c>
      <c r="C144" s="255" t="s">
        <v>122</v>
      </c>
      <c r="D144" s="258"/>
      <c r="E144" s="258"/>
      <c r="F144" s="266" t="e">
        <f>F145+F150+F154</f>
        <v>#REF!</v>
      </c>
      <c r="G144" s="243" t="e">
        <f>G145+G150+G154</f>
        <v>#REF!</v>
      </c>
      <c r="H144" s="256" t="e">
        <f>IF(F144&gt;0,G144/F144*100,"")</f>
        <v>#REF!</v>
      </c>
      <c r="I144" s="256" t="e">
        <f>F144/F171</f>
        <v>#REF!</v>
      </c>
      <c r="J144" s="243"/>
      <c r="K144" s="243" t="e">
        <f aca="true" t="shared" si="19" ref="K144:R144">K145+K150+K154</f>
        <v>#REF!</v>
      </c>
      <c r="L144" s="243" t="e">
        <f t="shared" si="19"/>
        <v>#REF!</v>
      </c>
      <c r="M144" s="243" t="e">
        <f t="shared" si="19"/>
        <v>#REF!</v>
      </c>
      <c r="N144" s="243" t="e">
        <f t="shared" si="19"/>
        <v>#REF!</v>
      </c>
      <c r="O144" s="243" t="e">
        <f t="shared" si="19"/>
        <v>#REF!</v>
      </c>
      <c r="P144" s="267" t="e">
        <f t="shared" si="19"/>
        <v>#REF!</v>
      </c>
      <c r="Q144" s="267" t="e">
        <f t="shared" si="19"/>
        <v>#REF!</v>
      </c>
      <c r="R144" s="267" t="e">
        <f t="shared" si="19"/>
        <v>#REF!</v>
      </c>
      <c r="S144" s="267">
        <f>S145+S150+S154+S160</f>
        <v>1127498</v>
      </c>
      <c r="T144" s="267">
        <f>T145+T150+T154+T160</f>
        <v>439962</v>
      </c>
      <c r="U144" s="383">
        <f aca="true" t="shared" si="20" ref="U144:U178">T144/S144*100%</f>
        <v>0.3902108917266372</v>
      </c>
      <c r="V144" s="381"/>
    </row>
    <row r="145" spans="1:22" s="85" customFormat="1" ht="26.25" customHeight="1">
      <c r="A145" s="292" t="s">
        <v>362</v>
      </c>
      <c r="B145" s="27" t="s">
        <v>125</v>
      </c>
      <c r="C145" s="29"/>
      <c r="D145" s="29" t="s">
        <v>124</v>
      </c>
      <c r="E145" s="29"/>
      <c r="F145" s="18">
        <f>F146+F147+F148</f>
        <v>84355</v>
      </c>
      <c r="G145" s="18" t="e">
        <f>G146+G147+G148+#REF!</f>
        <v>#REF!</v>
      </c>
      <c r="H145" s="91" t="e">
        <f>IF(F145&gt;0,G145/F145*100,"")</f>
        <v>#REF!</v>
      </c>
      <c r="I145" s="91" t="e">
        <f>F145/F171</f>
        <v>#REF!</v>
      </c>
      <c r="J145" s="18"/>
      <c r="K145" s="18" t="e">
        <f>K146+K147+K148+#REF!</f>
        <v>#REF!</v>
      </c>
      <c r="L145" s="18" t="e">
        <f>L146+L147+L148+#REF!</f>
        <v>#REF!</v>
      </c>
      <c r="M145" s="18" t="e">
        <f>#REF!+M146+M147+M148+#REF!+M149</f>
        <v>#REF!</v>
      </c>
      <c r="N145" s="18" t="e">
        <f>#REF!+N146+N147+#REF!+N148+N149</f>
        <v>#REF!</v>
      </c>
      <c r="O145" s="18" t="e">
        <f>#REF!+O146+O147+#REF!+O148+O149</f>
        <v>#REF!</v>
      </c>
      <c r="P145" s="167">
        <f>P146+P147+P148+P149</f>
        <v>67100</v>
      </c>
      <c r="Q145" s="167">
        <f>Q146+Q147+Q148+Q149</f>
        <v>0</v>
      </c>
      <c r="R145" s="167">
        <f>R146+R147+R148+R149</f>
        <v>0</v>
      </c>
      <c r="S145" s="167">
        <f>S146+S147+S148+S149</f>
        <v>86541</v>
      </c>
      <c r="T145" s="167">
        <f>T146+T147+T148+T149</f>
        <v>18128</v>
      </c>
      <c r="U145" s="385">
        <f t="shared" si="20"/>
        <v>0.20947296657075837</v>
      </c>
      <c r="V145" s="376"/>
    </row>
    <row r="146" spans="1:22" ht="22.5" customHeight="1">
      <c r="A146" s="127"/>
      <c r="B146" s="10" t="s">
        <v>188</v>
      </c>
      <c r="C146" s="16"/>
      <c r="D146" s="16"/>
      <c r="E146" s="16" t="s">
        <v>187</v>
      </c>
      <c r="F146" s="7">
        <v>8195</v>
      </c>
      <c r="G146" s="7">
        <v>33775</v>
      </c>
      <c r="H146" s="87">
        <f>IF(F146&gt;0,G146/F146*100,"")</f>
        <v>412.1415497254423</v>
      </c>
      <c r="I146" s="87" t="e">
        <f>F146/F171</f>
        <v>#REF!</v>
      </c>
      <c r="J146" s="7"/>
      <c r="K146" s="7">
        <v>0</v>
      </c>
      <c r="L146" s="7">
        <v>0</v>
      </c>
      <c r="M146" s="7">
        <v>20900</v>
      </c>
      <c r="N146" s="7">
        <v>0</v>
      </c>
      <c r="O146" s="7">
        <v>0</v>
      </c>
      <c r="P146" s="7">
        <v>18000</v>
      </c>
      <c r="Q146" s="7">
        <v>0</v>
      </c>
      <c r="R146" s="7">
        <v>0</v>
      </c>
      <c r="S146" s="7">
        <v>42700</v>
      </c>
      <c r="T146" s="123">
        <v>11002</v>
      </c>
      <c r="U146" s="385">
        <f t="shared" si="20"/>
        <v>0.25765807962529275</v>
      </c>
      <c r="V146" s="376"/>
    </row>
    <row r="147" spans="1:22" ht="24" customHeight="1">
      <c r="A147" s="127"/>
      <c r="B147" s="137" t="s">
        <v>553</v>
      </c>
      <c r="C147" s="16"/>
      <c r="D147" s="16"/>
      <c r="E147" s="16" t="s">
        <v>499</v>
      </c>
      <c r="F147" s="7">
        <v>60000</v>
      </c>
      <c r="G147" s="7">
        <v>66000</v>
      </c>
      <c r="H147" s="87">
        <f>IF(F147&gt;0,G147/F147*100,"")</f>
        <v>110.00000000000001</v>
      </c>
      <c r="I147" s="87" t="e">
        <f>F147/F171</f>
        <v>#REF!</v>
      </c>
      <c r="J147" s="7"/>
      <c r="K147" s="7">
        <v>0</v>
      </c>
      <c r="L147" s="7">
        <v>0</v>
      </c>
      <c r="M147" s="7">
        <v>55000</v>
      </c>
      <c r="N147" s="7">
        <v>0</v>
      </c>
      <c r="O147" s="7">
        <v>0</v>
      </c>
      <c r="P147" s="7">
        <v>49000</v>
      </c>
      <c r="Q147" s="7">
        <v>0</v>
      </c>
      <c r="R147" s="7">
        <v>0</v>
      </c>
      <c r="S147" s="7">
        <v>28641</v>
      </c>
      <c r="T147" s="123">
        <v>5549</v>
      </c>
      <c r="U147" s="385">
        <f t="shared" si="20"/>
        <v>0.19374323522223386</v>
      </c>
      <c r="V147" s="376"/>
    </row>
    <row r="148" spans="1:22" ht="15" customHeight="1">
      <c r="A148" s="127"/>
      <c r="B148" s="10" t="s">
        <v>364</v>
      </c>
      <c r="C148" s="16"/>
      <c r="D148" s="16"/>
      <c r="E148" s="16" t="s">
        <v>497</v>
      </c>
      <c r="F148" s="7">
        <v>16160</v>
      </c>
      <c r="G148" s="7">
        <v>16748</v>
      </c>
      <c r="H148" s="87">
        <f>IF(F148&gt;0,G148/F148*100,"")</f>
        <v>103.63861386138613</v>
      </c>
      <c r="I148" s="87" t="e">
        <f>F148/F171</f>
        <v>#REF!</v>
      </c>
      <c r="J148" s="7"/>
      <c r="K148" s="7">
        <v>0</v>
      </c>
      <c r="L148" s="7">
        <v>0</v>
      </c>
      <c r="M148" s="7">
        <v>700</v>
      </c>
      <c r="N148" s="7">
        <v>0</v>
      </c>
      <c r="O148" s="7">
        <v>0</v>
      </c>
      <c r="P148" s="7">
        <v>100</v>
      </c>
      <c r="Q148" s="7">
        <v>0</v>
      </c>
      <c r="R148" s="7">
        <v>0</v>
      </c>
      <c r="S148" s="7">
        <v>200</v>
      </c>
      <c r="T148" s="123">
        <v>92</v>
      </c>
      <c r="U148" s="385">
        <f t="shared" si="20"/>
        <v>0.46</v>
      </c>
      <c r="V148" s="376"/>
    </row>
    <row r="149" spans="1:22" ht="14.25" customHeight="1">
      <c r="A149" s="127"/>
      <c r="B149" s="10" t="s">
        <v>390</v>
      </c>
      <c r="C149" s="16"/>
      <c r="D149" s="16"/>
      <c r="E149" s="16" t="s">
        <v>501</v>
      </c>
      <c r="F149" s="7"/>
      <c r="G149" s="7"/>
      <c r="H149" s="87"/>
      <c r="I149" s="87"/>
      <c r="J149" s="7"/>
      <c r="K149" s="7"/>
      <c r="L149" s="7"/>
      <c r="M149" s="7">
        <v>200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15000</v>
      </c>
      <c r="T149" s="123">
        <v>1485</v>
      </c>
      <c r="U149" s="385">
        <f t="shared" si="20"/>
        <v>0.099</v>
      </c>
      <c r="V149" s="376"/>
    </row>
    <row r="150" spans="1:22" s="85" customFormat="1" ht="24.75" customHeight="1">
      <c r="A150" s="292" t="s">
        <v>366</v>
      </c>
      <c r="B150" s="27" t="s">
        <v>523</v>
      </c>
      <c r="C150" s="29"/>
      <c r="D150" s="29" t="s">
        <v>127</v>
      </c>
      <c r="E150" s="29"/>
      <c r="F150" s="18" t="e">
        <f>#REF!+F151+#REF!+F152</f>
        <v>#REF!</v>
      </c>
      <c r="G150" s="18" t="e">
        <f>#REF!+G151+#REF!+G152</f>
        <v>#REF!</v>
      </c>
      <c r="H150" s="91" t="e">
        <f aca="true" t="shared" si="21" ref="H150:H156">IF(F150&gt;0,G150/F150*100,"")</f>
        <v>#REF!</v>
      </c>
      <c r="I150" s="91" t="e">
        <f>F150/F171</f>
        <v>#REF!</v>
      </c>
      <c r="J150" s="18"/>
      <c r="K150" s="18" t="e">
        <f>K151+#REF!+K152</f>
        <v>#REF!</v>
      </c>
      <c r="L150" s="18" t="e">
        <f>L151+#REF!+L152</f>
        <v>#REF!</v>
      </c>
      <c r="M150" s="18" t="e">
        <f>M151+#REF!+M152</f>
        <v>#REF!</v>
      </c>
      <c r="N150" s="18" t="e">
        <f>N151+#REF!+N152</f>
        <v>#REF!</v>
      </c>
      <c r="O150" s="18" t="e">
        <f>O151+#REF!+O152</f>
        <v>#REF!</v>
      </c>
      <c r="P150" s="167">
        <f>P151+P152</f>
        <v>22890</v>
      </c>
      <c r="Q150" s="167">
        <f>Q151+Q152</f>
        <v>0</v>
      </c>
      <c r="R150" s="167">
        <f>R151+R152</f>
        <v>904</v>
      </c>
      <c r="S150" s="167">
        <f>S151+S152+S153</f>
        <v>9346</v>
      </c>
      <c r="T150" s="167">
        <f>T151+T152+T153</f>
        <v>4635</v>
      </c>
      <c r="U150" s="385">
        <f t="shared" si="20"/>
        <v>0.4959340894500321</v>
      </c>
      <c r="V150" s="376"/>
    </row>
    <row r="151" spans="1:22" ht="23.25" customHeight="1">
      <c r="A151" s="127"/>
      <c r="B151" s="137" t="s">
        <v>553</v>
      </c>
      <c r="C151" s="16"/>
      <c r="D151" s="16"/>
      <c r="E151" s="16" t="s">
        <v>499</v>
      </c>
      <c r="F151" s="7">
        <v>19580</v>
      </c>
      <c r="G151" s="7">
        <v>23550</v>
      </c>
      <c r="H151" s="87">
        <f t="shared" si="21"/>
        <v>120.27579162410622</v>
      </c>
      <c r="I151" s="87" t="e">
        <f>F151/F171</f>
        <v>#REF!</v>
      </c>
      <c r="J151" s="7"/>
      <c r="K151" s="7">
        <v>0</v>
      </c>
      <c r="L151" s="7">
        <v>0</v>
      </c>
      <c r="M151" s="7">
        <v>22560</v>
      </c>
      <c r="N151" s="7">
        <v>0</v>
      </c>
      <c r="O151" s="7">
        <v>0</v>
      </c>
      <c r="P151" s="7">
        <v>22740</v>
      </c>
      <c r="Q151" s="7">
        <v>0</v>
      </c>
      <c r="R151" s="7">
        <v>760</v>
      </c>
      <c r="S151" s="7">
        <v>9246</v>
      </c>
      <c r="T151" s="123">
        <v>4623</v>
      </c>
      <c r="U151" s="385">
        <f t="shared" si="20"/>
        <v>0.5</v>
      </c>
      <c r="V151" s="376"/>
    </row>
    <row r="152" spans="1:22" ht="16.5" customHeight="1">
      <c r="A152" s="127"/>
      <c r="B152" s="10" t="s">
        <v>372</v>
      </c>
      <c r="C152" s="16"/>
      <c r="D152" s="16"/>
      <c r="E152" s="16" t="s">
        <v>500</v>
      </c>
      <c r="F152" s="7">
        <v>1563</v>
      </c>
      <c r="G152" s="7">
        <v>1863</v>
      </c>
      <c r="H152" s="87">
        <f t="shared" si="21"/>
        <v>119.19385796545106</v>
      </c>
      <c r="I152" s="87" t="e">
        <f>F152/F171</f>
        <v>#REF!</v>
      </c>
      <c r="J152" s="7"/>
      <c r="K152" s="7">
        <v>0</v>
      </c>
      <c r="L152" s="7">
        <v>0</v>
      </c>
      <c r="M152" s="7">
        <v>100</v>
      </c>
      <c r="N152" s="7">
        <v>0</v>
      </c>
      <c r="O152" s="7">
        <v>0</v>
      </c>
      <c r="P152" s="7">
        <v>150</v>
      </c>
      <c r="Q152" s="7">
        <v>0</v>
      </c>
      <c r="R152" s="7">
        <v>144</v>
      </c>
      <c r="S152" s="7">
        <v>100</v>
      </c>
      <c r="T152" s="123">
        <v>0</v>
      </c>
      <c r="U152" s="385">
        <f t="shared" si="20"/>
        <v>0</v>
      </c>
      <c r="V152" s="376"/>
    </row>
    <row r="153" spans="1:22" ht="16.5" customHeight="1">
      <c r="A153" s="127"/>
      <c r="B153" s="10" t="s">
        <v>364</v>
      </c>
      <c r="C153" s="16"/>
      <c r="D153" s="16"/>
      <c r="E153" s="16" t="s">
        <v>497</v>
      </c>
      <c r="F153" s="7"/>
      <c r="G153" s="7"/>
      <c r="H153" s="87"/>
      <c r="I153" s="87"/>
      <c r="J153" s="7"/>
      <c r="K153" s="7"/>
      <c r="L153" s="7"/>
      <c r="M153" s="7"/>
      <c r="N153" s="7"/>
      <c r="O153" s="7"/>
      <c r="P153" s="7"/>
      <c r="Q153" s="7"/>
      <c r="R153" s="7"/>
      <c r="S153" s="7">
        <v>0</v>
      </c>
      <c r="T153" s="123">
        <v>12</v>
      </c>
      <c r="U153" s="385"/>
      <c r="V153" s="376"/>
    </row>
    <row r="154" spans="1:22" s="85" customFormat="1" ht="16.5" customHeight="1">
      <c r="A154" s="292" t="s">
        <v>400</v>
      </c>
      <c r="B154" s="27" t="s">
        <v>130</v>
      </c>
      <c r="C154" s="29"/>
      <c r="D154" s="29" t="s">
        <v>129</v>
      </c>
      <c r="E154" s="29"/>
      <c r="F154" s="18">
        <f>F155+F156</f>
        <v>21680</v>
      </c>
      <c r="G154" s="18">
        <f>G155+G156</f>
        <v>17100</v>
      </c>
      <c r="H154" s="91">
        <f t="shared" si="21"/>
        <v>78.87453874538745</v>
      </c>
      <c r="I154" s="91" t="e">
        <f>F154/F171</f>
        <v>#REF!</v>
      </c>
      <c r="J154" s="18"/>
      <c r="K154" s="18">
        <f>K155+K156</f>
        <v>0</v>
      </c>
      <c r="L154" s="18">
        <f>L155+L156</f>
        <v>0</v>
      </c>
      <c r="M154" s="18" t="e">
        <f>M155+M156+#REF!</f>
        <v>#REF!</v>
      </c>
      <c r="N154" s="18" t="e">
        <f>N155+N156+#REF!</f>
        <v>#REF!</v>
      </c>
      <c r="O154" s="18" t="e">
        <f>O155+O156+#REF!</f>
        <v>#REF!</v>
      </c>
      <c r="P154" s="167" t="e">
        <f>P155+P156+#REF!+P157+P158</f>
        <v>#REF!</v>
      </c>
      <c r="Q154" s="167" t="e">
        <f>Q155+Q156+#REF!+Q157+Q158</f>
        <v>#REF!</v>
      </c>
      <c r="R154" s="167" t="e">
        <f>R155+R156+#REF!+R157+R158</f>
        <v>#REF!</v>
      </c>
      <c r="S154" s="167">
        <f>S155+S156+S157+S158+S159</f>
        <v>673451</v>
      </c>
      <c r="T154" s="167">
        <f>T155+T156+T157+T158+T159</f>
        <v>318179</v>
      </c>
      <c r="U154" s="385">
        <f t="shared" si="20"/>
        <v>0.4724605056641092</v>
      </c>
      <c r="V154" s="376"/>
    </row>
    <row r="155" spans="1:22" ht="23.25" customHeight="1">
      <c r="A155" s="127"/>
      <c r="B155" s="137" t="s">
        <v>371</v>
      </c>
      <c r="C155" s="16"/>
      <c r="D155" s="16"/>
      <c r="E155" s="16" t="s">
        <v>499</v>
      </c>
      <c r="F155" s="7">
        <v>19535</v>
      </c>
      <c r="G155" s="7">
        <v>14800</v>
      </c>
      <c r="H155" s="87">
        <f t="shared" si="21"/>
        <v>75.76145380087024</v>
      </c>
      <c r="I155" s="87" t="e">
        <f>F155/F171</f>
        <v>#REF!</v>
      </c>
      <c r="J155" s="7"/>
      <c r="K155" s="7">
        <v>0</v>
      </c>
      <c r="L155" s="7">
        <v>0</v>
      </c>
      <c r="M155" s="7">
        <v>165726</v>
      </c>
      <c r="N155" s="7">
        <v>0</v>
      </c>
      <c r="O155" s="7">
        <v>0</v>
      </c>
      <c r="P155" s="7">
        <v>187501</v>
      </c>
      <c r="Q155" s="7">
        <v>0</v>
      </c>
      <c r="R155" s="7">
        <v>0</v>
      </c>
      <c r="S155" s="7">
        <v>133356</v>
      </c>
      <c r="T155" s="123">
        <v>21548</v>
      </c>
      <c r="U155" s="385">
        <f t="shared" si="20"/>
        <v>0.16158253096973516</v>
      </c>
      <c r="V155" s="376"/>
    </row>
    <row r="156" spans="1:22" ht="16.5" customHeight="1">
      <c r="A156" s="127"/>
      <c r="B156" s="274" t="s">
        <v>372</v>
      </c>
      <c r="C156" s="16"/>
      <c r="D156" s="16"/>
      <c r="E156" s="16" t="s">
        <v>500</v>
      </c>
      <c r="F156" s="7">
        <v>2145</v>
      </c>
      <c r="G156" s="7">
        <v>2300</v>
      </c>
      <c r="H156" s="87">
        <f t="shared" si="21"/>
        <v>107.22610722610723</v>
      </c>
      <c r="I156" s="87" t="e">
        <f>F156/F171</f>
        <v>#REF!</v>
      </c>
      <c r="J156" s="7"/>
      <c r="K156" s="7">
        <v>0</v>
      </c>
      <c r="L156" s="7">
        <v>0</v>
      </c>
      <c r="M156" s="7">
        <v>92012</v>
      </c>
      <c r="N156" s="7">
        <v>0</v>
      </c>
      <c r="O156" s="7">
        <v>0</v>
      </c>
      <c r="P156" s="7">
        <v>100384</v>
      </c>
      <c r="Q156" s="7">
        <v>0</v>
      </c>
      <c r="R156" s="7">
        <v>0</v>
      </c>
      <c r="S156" s="7">
        <v>86395</v>
      </c>
      <c r="T156" s="123">
        <v>37929</v>
      </c>
      <c r="U156" s="385">
        <f t="shared" si="20"/>
        <v>0.4390184617165345</v>
      </c>
      <c r="V156" s="376"/>
    </row>
    <row r="157" spans="1:22" ht="15.75" customHeight="1">
      <c r="A157" s="127"/>
      <c r="B157" s="274" t="s">
        <v>364</v>
      </c>
      <c r="C157" s="16"/>
      <c r="D157" s="16"/>
      <c r="E157" s="16" t="s">
        <v>497</v>
      </c>
      <c r="F157" s="7"/>
      <c r="G157" s="7"/>
      <c r="H157" s="87"/>
      <c r="I157" s="87"/>
      <c r="J157" s="7"/>
      <c r="K157" s="7"/>
      <c r="L157" s="7"/>
      <c r="M157" s="7"/>
      <c r="N157" s="7"/>
      <c r="O157" s="7"/>
      <c r="P157" s="7">
        <v>4719</v>
      </c>
      <c r="Q157" s="7">
        <v>0</v>
      </c>
      <c r="R157" s="7">
        <v>0</v>
      </c>
      <c r="S157" s="7">
        <v>200</v>
      </c>
      <c r="T157" s="123">
        <v>37</v>
      </c>
      <c r="U157" s="385">
        <f t="shared" si="20"/>
        <v>0.185</v>
      </c>
      <c r="V157" s="376"/>
    </row>
    <row r="158" spans="1:22" ht="15.75" customHeight="1">
      <c r="A158" s="127"/>
      <c r="B158" s="274" t="s">
        <v>390</v>
      </c>
      <c r="C158" s="16"/>
      <c r="D158" s="16"/>
      <c r="E158" s="16" t="s">
        <v>501</v>
      </c>
      <c r="F158" s="7"/>
      <c r="G158" s="7"/>
      <c r="H158" s="87"/>
      <c r="I158" s="87"/>
      <c r="J158" s="7"/>
      <c r="K158" s="7"/>
      <c r="L158" s="7"/>
      <c r="M158" s="7"/>
      <c r="N158" s="7"/>
      <c r="O158" s="7"/>
      <c r="P158" s="7">
        <v>51569</v>
      </c>
      <c r="Q158" s="7">
        <v>0</v>
      </c>
      <c r="R158" s="7">
        <v>0</v>
      </c>
      <c r="S158" s="7">
        <v>3500</v>
      </c>
      <c r="T158" s="123">
        <v>16874</v>
      </c>
      <c r="U158" s="385">
        <f t="shared" si="20"/>
        <v>4.821142857142857</v>
      </c>
      <c r="V158" s="376"/>
    </row>
    <row r="159" spans="1:22" s="34" customFormat="1" ht="24" customHeight="1">
      <c r="A159" s="294"/>
      <c r="B159" s="274" t="s">
        <v>282</v>
      </c>
      <c r="C159" s="25"/>
      <c r="D159" s="25"/>
      <c r="E159" s="29" t="s">
        <v>488</v>
      </c>
      <c r="F159" s="6"/>
      <c r="G159" s="6"/>
      <c r="H159" s="86"/>
      <c r="I159" s="86"/>
      <c r="J159" s="6"/>
      <c r="K159" s="6"/>
      <c r="L159" s="6"/>
      <c r="M159" s="6"/>
      <c r="N159" s="6"/>
      <c r="O159" s="6"/>
      <c r="P159" s="96"/>
      <c r="Q159" s="96"/>
      <c r="R159" s="96"/>
      <c r="S159" s="167">
        <v>450000</v>
      </c>
      <c r="T159" s="340">
        <v>241791</v>
      </c>
      <c r="U159" s="385">
        <f t="shared" si="20"/>
        <v>0.5373133333333333</v>
      </c>
      <c r="V159" s="376"/>
    </row>
    <row r="160" spans="1:22" ht="15.75" customHeight="1">
      <c r="A160" s="127" t="s">
        <v>402</v>
      </c>
      <c r="B160" s="274" t="s">
        <v>364</v>
      </c>
      <c r="C160" s="16"/>
      <c r="D160" s="16" t="s">
        <v>131</v>
      </c>
      <c r="E160" s="16"/>
      <c r="F160" s="7"/>
      <c r="G160" s="7"/>
      <c r="H160" s="87"/>
      <c r="I160" s="87"/>
      <c r="J160" s="7"/>
      <c r="K160" s="7"/>
      <c r="L160" s="7"/>
      <c r="M160" s="7"/>
      <c r="N160" s="7"/>
      <c r="O160" s="7"/>
      <c r="P160" s="7"/>
      <c r="Q160" s="7"/>
      <c r="R160" s="7"/>
      <c r="S160" s="7">
        <f>S161+S162+S163</f>
        <v>358160</v>
      </c>
      <c r="T160" s="7">
        <f>T161+T162+T163</f>
        <v>99020</v>
      </c>
      <c r="U160" s="385">
        <f t="shared" si="20"/>
        <v>0.2764686173777083</v>
      </c>
      <c r="V160" s="376"/>
    </row>
    <row r="161" spans="1:22" ht="15.75" customHeight="1">
      <c r="A161" s="127"/>
      <c r="B161" s="274" t="s">
        <v>364</v>
      </c>
      <c r="C161" s="16"/>
      <c r="D161" s="16"/>
      <c r="E161" s="16" t="s">
        <v>497</v>
      </c>
      <c r="F161" s="7"/>
      <c r="G161" s="7"/>
      <c r="H161" s="87"/>
      <c r="I161" s="87"/>
      <c r="J161" s="7"/>
      <c r="K161" s="7"/>
      <c r="L161" s="7"/>
      <c r="M161" s="7"/>
      <c r="N161" s="7"/>
      <c r="O161" s="7"/>
      <c r="P161" s="7"/>
      <c r="Q161" s="7"/>
      <c r="R161" s="7"/>
      <c r="S161" s="7">
        <v>0</v>
      </c>
      <c r="T161" s="123">
        <v>20</v>
      </c>
      <c r="U161" s="385">
        <v>0</v>
      </c>
      <c r="V161" s="376"/>
    </row>
    <row r="162" spans="1:22" s="34" customFormat="1" ht="46.5" customHeight="1">
      <c r="A162" s="292"/>
      <c r="B162" s="137" t="s">
        <v>440</v>
      </c>
      <c r="C162" s="50"/>
      <c r="D162" s="50"/>
      <c r="E162" s="20">
        <v>2888</v>
      </c>
      <c r="F162" s="82"/>
      <c r="G162" s="90"/>
      <c r="H162" s="91"/>
      <c r="I162" s="92"/>
      <c r="J162" s="18"/>
      <c r="K162" s="18"/>
      <c r="L162" s="18"/>
      <c r="M162" s="18"/>
      <c r="N162" s="18"/>
      <c r="O162" s="18"/>
      <c r="P162" s="18"/>
      <c r="Q162" s="18"/>
      <c r="R162" s="18"/>
      <c r="S162" s="18">
        <v>243549</v>
      </c>
      <c r="T162" s="342">
        <v>67320</v>
      </c>
      <c r="U162" s="385">
        <f t="shared" si="20"/>
        <v>0.2764125494253723</v>
      </c>
      <c r="V162" s="376"/>
    </row>
    <row r="163" spans="1:22" s="34" customFormat="1" ht="44.25" customHeight="1">
      <c r="A163" s="292"/>
      <c r="B163" s="137" t="s">
        <v>440</v>
      </c>
      <c r="C163" s="50"/>
      <c r="D163" s="50"/>
      <c r="E163" s="20">
        <v>2889</v>
      </c>
      <c r="F163" s="82"/>
      <c r="G163" s="90"/>
      <c r="H163" s="91"/>
      <c r="I163" s="92"/>
      <c r="J163" s="18"/>
      <c r="K163" s="18"/>
      <c r="L163" s="18"/>
      <c r="M163" s="18"/>
      <c r="N163" s="18"/>
      <c r="O163" s="18"/>
      <c r="P163" s="18"/>
      <c r="Q163" s="18"/>
      <c r="R163" s="18"/>
      <c r="S163" s="18">
        <v>114611</v>
      </c>
      <c r="T163" s="342">
        <v>31680</v>
      </c>
      <c r="U163" s="385">
        <f t="shared" si="20"/>
        <v>0.2764132587622479</v>
      </c>
      <c r="V163" s="386"/>
    </row>
    <row r="164" spans="1:23" s="34" customFormat="1" ht="25.5">
      <c r="A164" s="289" t="s">
        <v>479</v>
      </c>
      <c r="B164" s="254" t="s">
        <v>480</v>
      </c>
      <c r="C164" s="251">
        <v>900</v>
      </c>
      <c r="D164" s="251"/>
      <c r="E164" s="251"/>
      <c r="F164" s="262"/>
      <c r="G164" s="260"/>
      <c r="H164" s="256"/>
      <c r="I164" s="261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>
        <f>S165</f>
        <v>40000</v>
      </c>
      <c r="T164" s="243">
        <f>T165</f>
        <v>0</v>
      </c>
      <c r="U164" s="383">
        <f t="shared" si="20"/>
        <v>0</v>
      </c>
      <c r="V164" s="387"/>
      <c r="W164" s="95"/>
    </row>
    <row r="165" spans="1:23" ht="25.5" customHeight="1">
      <c r="A165" s="292" t="s">
        <v>362</v>
      </c>
      <c r="B165" s="27" t="s">
        <v>103</v>
      </c>
      <c r="C165" s="20"/>
      <c r="D165" s="20">
        <v>90011</v>
      </c>
      <c r="E165" s="7"/>
      <c r="F165" s="82"/>
      <c r="G165" s="90"/>
      <c r="H165" s="91"/>
      <c r="I165" s="92"/>
      <c r="J165" s="18"/>
      <c r="K165" s="18"/>
      <c r="L165" s="18"/>
      <c r="M165" s="7"/>
      <c r="N165" s="7"/>
      <c r="O165" s="7"/>
      <c r="P165" s="7"/>
      <c r="Q165" s="7"/>
      <c r="R165" s="7"/>
      <c r="S165" s="7">
        <f>S166+S167</f>
        <v>40000</v>
      </c>
      <c r="T165" s="7">
        <f>T166+T167</f>
        <v>0</v>
      </c>
      <c r="U165" s="385">
        <f t="shared" si="20"/>
        <v>0</v>
      </c>
      <c r="V165" s="386"/>
      <c r="W165" s="37"/>
    </row>
    <row r="166" spans="1:23" ht="23.25" customHeight="1">
      <c r="A166" s="292"/>
      <c r="B166" s="137" t="s">
        <v>286</v>
      </c>
      <c r="C166" s="20"/>
      <c r="D166" s="20"/>
      <c r="E166" s="31">
        <v>2440</v>
      </c>
      <c r="F166" s="82"/>
      <c r="G166" s="90"/>
      <c r="H166" s="91"/>
      <c r="I166" s="92"/>
      <c r="J166" s="18"/>
      <c r="K166" s="18"/>
      <c r="L166" s="18"/>
      <c r="M166" s="7"/>
      <c r="N166" s="7"/>
      <c r="O166" s="7"/>
      <c r="P166" s="7"/>
      <c r="Q166" s="7"/>
      <c r="R166" s="7"/>
      <c r="S166" s="7">
        <v>0</v>
      </c>
      <c r="T166" s="123">
        <v>0</v>
      </c>
      <c r="U166" s="385">
        <v>0</v>
      </c>
      <c r="V166" s="386"/>
      <c r="W166" s="37"/>
    </row>
    <row r="167" spans="1:36" ht="34.5" customHeight="1">
      <c r="A167" s="294"/>
      <c r="B167" s="137" t="s">
        <v>285</v>
      </c>
      <c r="C167" s="20"/>
      <c r="D167" s="20"/>
      <c r="E167" s="20">
        <v>6260</v>
      </c>
      <c r="F167" s="82"/>
      <c r="G167" s="90"/>
      <c r="H167" s="91"/>
      <c r="I167" s="92"/>
      <c r="J167" s="18"/>
      <c r="K167" s="18"/>
      <c r="L167" s="18"/>
      <c r="M167" s="7"/>
      <c r="N167" s="7"/>
      <c r="O167" s="7"/>
      <c r="P167" s="7"/>
      <c r="Q167" s="7"/>
      <c r="R167" s="7"/>
      <c r="S167" s="7">
        <v>40000</v>
      </c>
      <c r="T167" s="123">
        <v>0</v>
      </c>
      <c r="U167" s="385">
        <f t="shared" si="20"/>
        <v>0</v>
      </c>
      <c r="V167" s="386"/>
      <c r="W167" s="242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</row>
    <row r="168" spans="1:22" s="34" customFormat="1" ht="23.25" customHeight="1">
      <c r="A168" s="289" t="s">
        <v>481</v>
      </c>
      <c r="B168" s="254" t="s">
        <v>253</v>
      </c>
      <c r="C168" s="251">
        <v>921</v>
      </c>
      <c r="D168" s="243"/>
      <c r="E168" s="251"/>
      <c r="F168" s="262"/>
      <c r="G168" s="260"/>
      <c r="H168" s="256"/>
      <c r="I168" s="261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>
        <f>S170</f>
        <v>65000</v>
      </c>
      <c r="T168" s="243">
        <f>T170</f>
        <v>0</v>
      </c>
      <c r="U168" s="383">
        <f t="shared" si="20"/>
        <v>0</v>
      </c>
      <c r="V168" s="387"/>
    </row>
    <row r="169" spans="1:22" s="314" customFormat="1" ht="23.25" customHeight="1">
      <c r="A169" s="306" t="s">
        <v>362</v>
      </c>
      <c r="B169" s="307" t="s">
        <v>140</v>
      </c>
      <c r="C169" s="308"/>
      <c r="D169" s="317">
        <v>92116</v>
      </c>
      <c r="E169" s="308"/>
      <c r="F169" s="309"/>
      <c r="G169" s="310"/>
      <c r="H169" s="311"/>
      <c r="I169" s="312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>
        <f>S170</f>
        <v>65000</v>
      </c>
      <c r="T169" s="205">
        <f>T170</f>
        <v>0</v>
      </c>
      <c r="U169" s="385">
        <f t="shared" si="20"/>
        <v>0</v>
      </c>
      <c r="V169" s="386"/>
    </row>
    <row r="170" spans="1:22" s="34" customFormat="1" ht="26.25" customHeight="1" thickBot="1">
      <c r="A170" s="329"/>
      <c r="B170" s="330" t="s">
        <v>283</v>
      </c>
      <c r="C170" s="331"/>
      <c r="D170" s="331"/>
      <c r="E170" s="332">
        <v>6630</v>
      </c>
      <c r="F170" s="333"/>
      <c r="G170" s="334"/>
      <c r="H170" s="335"/>
      <c r="I170" s="336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>
        <v>65000</v>
      </c>
      <c r="T170" s="343">
        <v>0</v>
      </c>
      <c r="U170" s="392">
        <f t="shared" si="20"/>
        <v>0</v>
      </c>
      <c r="V170" s="388"/>
    </row>
    <row r="171" spans="1:22" ht="18.75" customHeight="1" thickBot="1">
      <c r="A171" s="318"/>
      <c r="B171" s="319" t="s">
        <v>459</v>
      </c>
      <c r="C171" s="320"/>
      <c r="D171" s="320"/>
      <c r="E171" s="320"/>
      <c r="F171" s="321" t="e">
        <f>#REF!+#REF!+#REF!+#REF!+#REF!+#REF!+#REF!+#REF!</f>
        <v>#REF!</v>
      </c>
      <c r="G171" s="322" t="e">
        <f>#REF!+#REF!+#REF!+#REF!+#REF!+#REF!+#REF!+#REF!+#REF!+#REF!+#REF!+#REF!</f>
        <v>#REF!</v>
      </c>
      <c r="H171" s="323" t="e">
        <f>IF(F171&gt;0,G171/F171*100,"")</f>
        <v>#REF!</v>
      </c>
      <c r="I171" s="324" t="e">
        <f>F171/F171</f>
        <v>#REF!</v>
      </c>
      <c r="J171" s="325"/>
      <c r="K171" s="325" t="e">
        <f>#REF!+#REF!+#REF!+#REF!+#REF!+#REF!+#REF!+#REF!+#REF!</f>
        <v>#REF!</v>
      </c>
      <c r="L171" s="325" t="e">
        <f>#REF!+#REF!+#REF!+#REF!+#REF!+#REF!++#REF!+#REF!+#REF!</f>
        <v>#REF!</v>
      </c>
      <c r="M171" s="326" t="e">
        <f>#REF!+#REF!+#REF!+#REF!+#REF!+#REF!+#REF!+#REF!+#REF!+#REF!+#REF!</f>
        <v>#REF!</v>
      </c>
      <c r="N171" s="326" t="e">
        <f>#REF!+#REF!+#REF!+#REF!+#REF!+#REF!+#REF!+#REF!+#REF!+#REF!+#REF!</f>
        <v>#REF!</v>
      </c>
      <c r="O171" s="326" t="e">
        <f>#REF!+#REF!+#REF!+#REF!+#REF!+#REF!+#REF!+#REF!+#REF!+#REF!+#REF!</f>
        <v>#REF!</v>
      </c>
      <c r="P171" s="326" t="e">
        <f>#REF!+#REF!+#REF!+#REF!+#REF!+#REF!+#REF!+#REF!+#REF!+#REF!+#REF!+#REF!</f>
        <v>#REF!</v>
      </c>
      <c r="Q171" s="326" t="e">
        <f>#REF!+#REF!+#REF!+#REF!+#REF!+#REF!+#REF!+#REF!+#REF!+#REF!+#REF!+#REF!</f>
        <v>#REF!</v>
      </c>
      <c r="R171" s="326" t="e">
        <f>#REF!+#REF!+#REF!+#REF!+#REF!+#REF!+#REF!+#REF!+#REF!+#REF!+#REF!+#REF!</f>
        <v>#REF!</v>
      </c>
      <c r="S171" s="326">
        <f>S11+S16+S19+S33+S41+S49+S60+S75+S79+S91+S104+S109+S118+S134+S144+S164+S168</f>
        <v>32610605</v>
      </c>
      <c r="T171" s="391">
        <f>T11+T16+T19+T33+T41+T49+T60+T75+T79+T91+T104+T109+T118+T134+T144+T164+T168</f>
        <v>10960082</v>
      </c>
      <c r="U171" s="393">
        <f t="shared" si="20"/>
        <v>0.3360895021726828</v>
      </c>
      <c r="V171" s="389"/>
    </row>
    <row r="172" spans="1:22" ht="18" customHeight="1">
      <c r="A172" s="327"/>
      <c r="B172" s="480" t="s">
        <v>460</v>
      </c>
      <c r="C172" s="481"/>
      <c r="D172" s="481"/>
      <c r="E172" s="463"/>
      <c r="F172" s="57" t="e">
        <f>#REF!+#REF!+#REF!+#REF!+#REF!+#REF!</f>
        <v>#REF!</v>
      </c>
      <c r="G172" s="165" t="e">
        <f>#REF!+#REF!+#REF!+#REF!+#REF!+#REF!</f>
        <v>#REF!</v>
      </c>
      <c r="H172" s="163" t="e">
        <f>IF(F172&gt;0,G172/F172*100,"")</f>
        <v>#REF!</v>
      </c>
      <c r="I172" s="158" t="e">
        <f>F172/F171</f>
        <v>#REF!</v>
      </c>
      <c r="J172" s="36"/>
      <c r="K172" s="36" t="e">
        <f>#REF!+#REF!+#REF!+#REF!+#REF!+#REF!</f>
        <v>#REF!</v>
      </c>
      <c r="L172" s="36" t="e">
        <f>#REF!+#REF!+#REF!+#REF!+#REF!+#REF!</f>
        <v>#REF!</v>
      </c>
      <c r="M172" s="166" t="e">
        <f>#REF!+#REF!+#REF!+#REF!+#REF!+#REF!+#REF!+#REF!+#REF!</f>
        <v>#REF!</v>
      </c>
      <c r="N172" s="166" t="e">
        <f>#REF!+#REF!+#REF!+#REF!+#REF!+#REF!+#REF!+#REF!+#REF!</f>
        <v>#REF!</v>
      </c>
      <c r="O172" s="166" t="e">
        <f>#REF!+#REF!+#REF!+#REF!+#REF!+#REF!+#REF!+#REF!+#REF!</f>
        <v>#REF!</v>
      </c>
      <c r="P172" s="166" t="e">
        <f>#REF!+#REF!+#REF!+#REF!+#REF!+#REF!+#REF!</f>
        <v>#REF!</v>
      </c>
      <c r="Q172" s="166" t="e">
        <f>#REF!+#REF!+#REF!+#REF!+#REF!+#REF!+#REF!</f>
        <v>#REF!</v>
      </c>
      <c r="R172" s="166" t="e">
        <f>#REF!+#REF!+#REF!+#REF!+#REF!+#REF!+#REF!</f>
        <v>#REF!</v>
      </c>
      <c r="S172" s="166">
        <f>S173+S174+S175+S176+S177</f>
        <v>10750351</v>
      </c>
      <c r="T172" s="394">
        <f>T173+T174+T175+T176+T177</f>
        <v>4098118</v>
      </c>
      <c r="U172" s="396">
        <f t="shared" si="20"/>
        <v>0.38120783219078147</v>
      </c>
      <c r="V172" s="390"/>
    </row>
    <row r="173" spans="1:22" ht="18.75" customHeight="1">
      <c r="A173" s="127"/>
      <c r="B173" s="477" t="s">
        <v>507</v>
      </c>
      <c r="C173" s="478"/>
      <c r="D173" s="478"/>
      <c r="E173" s="479"/>
      <c r="F173" s="4" t="e">
        <f>#REF!+#REF!</f>
        <v>#REF!</v>
      </c>
      <c r="G173" s="89" t="e">
        <f>#REF!+#REF!</f>
        <v>#REF!</v>
      </c>
      <c r="H173" s="87" t="e">
        <f>IF(F173&gt;0,G173/F173*100,"")</f>
        <v>#REF!</v>
      </c>
      <c r="I173" s="5" t="e">
        <f>F173/F171</f>
        <v>#REF!</v>
      </c>
      <c r="J173" s="7"/>
      <c r="K173" s="7" t="e">
        <f>#REF!</f>
        <v>#REF!</v>
      </c>
      <c r="L173" s="7" t="e">
        <f>#REF!</f>
        <v>#REF!</v>
      </c>
      <c r="M173" s="97" t="e">
        <f>#REF!</f>
        <v>#REF!</v>
      </c>
      <c r="N173" s="97" t="e">
        <f>#REF!</f>
        <v>#REF!</v>
      </c>
      <c r="O173" s="97" t="e">
        <f>#REF!</f>
        <v>#REF!</v>
      </c>
      <c r="P173" s="97" t="e">
        <f>#REF!</f>
        <v>#REF!</v>
      </c>
      <c r="Q173" s="97" t="e">
        <f>#REF!</f>
        <v>#REF!</v>
      </c>
      <c r="R173" s="97" t="e">
        <f>#REF!</f>
        <v>#REF!</v>
      </c>
      <c r="S173" s="97">
        <f>S128</f>
        <v>490000</v>
      </c>
      <c r="T173" s="395">
        <f>T128</f>
        <v>143722</v>
      </c>
      <c r="U173" s="397">
        <f t="shared" si="20"/>
        <v>0.29331020408163266</v>
      </c>
      <c r="V173" s="386"/>
    </row>
    <row r="174" spans="1:22" ht="18.75" customHeight="1">
      <c r="A174" s="127"/>
      <c r="B174" s="477" t="s">
        <v>556</v>
      </c>
      <c r="C174" s="478"/>
      <c r="D174" s="478"/>
      <c r="E174" s="479"/>
      <c r="F174" s="4" t="e">
        <f>#REF!</f>
        <v>#REF!</v>
      </c>
      <c r="G174" s="89" t="e">
        <f>#REF!</f>
        <v>#REF!</v>
      </c>
      <c r="H174" s="87" t="e">
        <f>IF(F174&gt;0,G174/F174*100,"")</f>
        <v>#REF!</v>
      </c>
      <c r="I174" s="5" t="e">
        <f>F174/F171</f>
        <v>#REF!</v>
      </c>
      <c r="J174" s="7"/>
      <c r="K174" s="7" t="e">
        <f>#REF!</f>
        <v>#REF!</v>
      </c>
      <c r="L174" s="7" t="e">
        <f>#REF!</f>
        <v>#REF!</v>
      </c>
      <c r="M174" s="97" t="e">
        <f>#REF!</f>
        <v>#REF!</v>
      </c>
      <c r="N174" s="97" t="e">
        <f>#REF!</f>
        <v>#REF!</v>
      </c>
      <c r="O174" s="97" t="e">
        <f>#REF!</f>
        <v>#REF!</v>
      </c>
      <c r="P174" s="97" t="e">
        <f>#REF!</f>
        <v>#REF!</v>
      </c>
      <c r="Q174" s="97" t="e">
        <f>#REF!</f>
        <v>#REF!</v>
      </c>
      <c r="R174" s="97" t="e">
        <f>#REF!</f>
        <v>#REF!</v>
      </c>
      <c r="S174" s="97">
        <f>S13+S40+S43+S45+S48+S51+S59+S63+S74+S117</f>
        <v>3305295</v>
      </c>
      <c r="T174" s="395">
        <f>T13+T40+T43+T45+T48+T51+T59+T63+T74+T117</f>
        <v>1017419</v>
      </c>
      <c r="U174" s="397">
        <f t="shared" si="20"/>
        <v>0.30781488490437314</v>
      </c>
      <c r="V174" s="386"/>
    </row>
    <row r="175" spans="1:22" ht="17.25" customHeight="1">
      <c r="A175" s="127"/>
      <c r="B175" s="474" t="s">
        <v>518</v>
      </c>
      <c r="C175" s="475"/>
      <c r="D175" s="475"/>
      <c r="E175" s="476"/>
      <c r="F175" s="4" t="e">
        <f>#REF!+#REF!+#REF!</f>
        <v>#REF!</v>
      </c>
      <c r="G175" s="89" t="e">
        <f>#REF!+#REF!</f>
        <v>#REF!</v>
      </c>
      <c r="H175" s="87" t="e">
        <f>IF(F175&gt;0,G175/F175*100,"")</f>
        <v>#REF!</v>
      </c>
      <c r="I175" s="5" t="e">
        <f>F175/F171</f>
        <v>#REF!</v>
      </c>
      <c r="J175" s="7"/>
      <c r="K175" s="7" t="e">
        <f>#REF!+#REF!</f>
        <v>#REF!</v>
      </c>
      <c r="L175" s="7" t="e">
        <f>#REF!+#REF!</f>
        <v>#REF!</v>
      </c>
      <c r="M175" s="97" t="e">
        <f>#REF!+#REF!+#REF!+#REF!</f>
        <v>#REF!</v>
      </c>
      <c r="N175" s="97" t="e">
        <f>#REF!+#REF!+#REF!+#REF!</f>
        <v>#REF!</v>
      </c>
      <c r="O175" s="97" t="e">
        <f>#REF!+#REF!+#REF!+#REF!</f>
        <v>#REF!</v>
      </c>
      <c r="P175" s="97" t="e">
        <f>#REF!+#REF!+#REF!</f>
        <v>#REF!</v>
      </c>
      <c r="Q175" s="97" t="e">
        <f>#REF!+#REF!+#REF!</f>
        <v>#REF!</v>
      </c>
      <c r="R175" s="97" t="e">
        <f>#REF!+#REF!+#REF!</f>
        <v>#REF!</v>
      </c>
      <c r="S175" s="97">
        <f>S64+S65+S31+S32+S122+S131+S162+S163+S107+S108+S115+S170</f>
        <v>1295062</v>
      </c>
      <c r="T175" s="395">
        <f>T64+T65+T31+T32+T122+T131+T162+T163+T107+T108+T115+T170</f>
        <v>211120</v>
      </c>
      <c r="U175" s="397">
        <f t="shared" si="20"/>
        <v>0.16301922224573032</v>
      </c>
      <c r="V175" s="386"/>
    </row>
    <row r="176" spans="1:22" ht="21" customHeight="1">
      <c r="A176" s="127"/>
      <c r="B176" s="474" t="s">
        <v>219</v>
      </c>
      <c r="C176" s="475"/>
      <c r="D176" s="475"/>
      <c r="E176" s="476"/>
      <c r="F176" s="4"/>
      <c r="G176" s="89"/>
      <c r="H176" s="87"/>
      <c r="I176" s="5"/>
      <c r="J176" s="7"/>
      <c r="K176" s="7"/>
      <c r="L176" s="7"/>
      <c r="M176" s="97"/>
      <c r="N176" s="97"/>
      <c r="O176" s="97"/>
      <c r="P176" s="97"/>
      <c r="Q176" s="97"/>
      <c r="R176" s="97"/>
      <c r="S176" s="97">
        <f>S137+S138+S143+S166+S167</f>
        <v>654313</v>
      </c>
      <c r="T176" s="395">
        <f>T137+T138+T143+T166+T167</f>
        <v>482100</v>
      </c>
      <c r="U176" s="397">
        <f t="shared" si="20"/>
        <v>0.7368033341840985</v>
      </c>
      <c r="V176" s="376"/>
    </row>
    <row r="177" spans="1:22" ht="18.75" customHeight="1">
      <c r="A177" s="127"/>
      <c r="B177" s="471" t="s">
        <v>519</v>
      </c>
      <c r="C177" s="472"/>
      <c r="D177" s="472"/>
      <c r="E177" s="473"/>
      <c r="F177" s="7"/>
      <c r="G177" s="7"/>
      <c r="H177" s="7"/>
      <c r="I177" s="7"/>
      <c r="J177" s="7"/>
      <c r="K177" s="7"/>
      <c r="L177" s="7"/>
      <c r="M177" s="97" t="e">
        <f>#REF!</f>
        <v>#REF!</v>
      </c>
      <c r="N177" s="97" t="e">
        <f>#REF!</f>
        <v>#REF!</v>
      </c>
      <c r="O177" s="97" t="e">
        <f>#REF!</f>
        <v>#REF!</v>
      </c>
      <c r="P177" s="97" t="e">
        <f>#REF!+#REF!</f>
        <v>#REF!</v>
      </c>
      <c r="Q177" s="97" t="e">
        <f>#REF!+#REF!</f>
        <v>#REF!</v>
      </c>
      <c r="R177" s="97" t="e">
        <f>#REF!+#REF!</f>
        <v>#REF!</v>
      </c>
      <c r="S177" s="97">
        <f>S18+S29+S30+S113+S114+S159</f>
        <v>5005681</v>
      </c>
      <c r="T177" s="395">
        <f>T18+T29+T30+T113+T114+T159</f>
        <v>2243757</v>
      </c>
      <c r="U177" s="397">
        <f t="shared" si="20"/>
        <v>0.4482421073176657</v>
      </c>
      <c r="V177" s="376"/>
    </row>
    <row r="178" spans="1:23" ht="14.25" customHeight="1" thickBot="1">
      <c r="A178" s="128"/>
      <c r="B178" s="468" t="s">
        <v>482</v>
      </c>
      <c r="C178" s="469"/>
      <c r="D178" s="469"/>
      <c r="E178" s="470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>
        <f>S15+S21+S22+S23+S24+S25+S26+S35+S36+S37+S38+S39+S47+S53+S54+S55+S56+S57+S62+S77+S78+S85+S93+S94+S95+S96+S98+S99+S100+S101+S102+S103+S106+S111+S112+S120+S121+S124+S125+S126+S127+S130+S133+S136+S140+S141+S142+S146+S147+S148+S149+S151+S152+S153+S155+S156+S157+S158+S161</f>
        <v>5590873</v>
      </c>
      <c r="T178" s="78">
        <f>T15+T21+T22+T23+T24+T25+T26+T35+T36+T37+T38+T39+T47+T53+T54+T55+T56+T57+T62+T77+T78+T85+T93+T94+T95+T96+T98+T99+T100+T101+T102+T103+T106+T111+T112+T120+T121+T124+T125+T126+T127+T130+T133+T136+T140+T141+T142+T146+T147+T148+T149+T151+T152+T153+T155+T156+T157+T158+T161</f>
        <v>1003512</v>
      </c>
      <c r="U178" s="398">
        <f t="shared" si="20"/>
        <v>0.17949110988570122</v>
      </c>
      <c r="V178" s="400"/>
      <c r="W178" s="268"/>
    </row>
    <row r="179" spans="21:23" ht="14.25" customHeight="1">
      <c r="U179" s="242"/>
      <c r="V179" s="399"/>
      <c r="W179" s="268"/>
    </row>
    <row r="180" spans="21:23" ht="14.25" customHeight="1">
      <c r="U180" s="242"/>
      <c r="V180" s="399"/>
      <c r="W180" s="268"/>
    </row>
    <row r="181" spans="21:23" ht="14.25" customHeight="1">
      <c r="U181" s="242"/>
      <c r="V181" s="399"/>
      <c r="W181" s="268"/>
    </row>
    <row r="182" spans="16:23" ht="12.75">
      <c r="P182" t="s">
        <v>560</v>
      </c>
      <c r="U182" s="242"/>
      <c r="V182" s="399"/>
      <c r="W182" s="268"/>
    </row>
    <row r="183" spans="22:23" ht="12.75">
      <c r="V183" s="268"/>
      <c r="W183" s="268"/>
    </row>
    <row r="184" spans="22:23" ht="12.75">
      <c r="V184" s="268"/>
      <c r="W184" s="268"/>
    </row>
    <row r="185" spans="22:23" ht="12.75">
      <c r="V185" s="268"/>
      <c r="W185" s="268"/>
    </row>
    <row r="186" spans="22:23" ht="12.75">
      <c r="V186" s="268"/>
      <c r="W186" s="268"/>
    </row>
    <row r="187" spans="22:23" ht="12.75">
      <c r="V187" s="268"/>
      <c r="W187" s="268"/>
    </row>
    <row r="188" spans="22:23" ht="12.75">
      <c r="V188" s="268"/>
      <c r="W188" s="268"/>
    </row>
  </sheetData>
  <mergeCells count="28"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  <mergeCell ref="L7:L9"/>
    <mergeCell ref="N7:N9"/>
    <mergeCell ref="O7:O9"/>
    <mergeCell ref="I8:I9"/>
    <mergeCell ref="F7:F9"/>
    <mergeCell ref="G7:G9"/>
    <mergeCell ref="H7:H9"/>
    <mergeCell ref="K7:K9"/>
    <mergeCell ref="U6:U9"/>
    <mergeCell ref="C1:V2"/>
    <mergeCell ref="B178:E178"/>
    <mergeCell ref="B177:E177"/>
    <mergeCell ref="B176:E176"/>
    <mergeCell ref="B175:E175"/>
    <mergeCell ref="B174:E174"/>
    <mergeCell ref="B173:E173"/>
    <mergeCell ref="B172:E172"/>
    <mergeCell ref="V6:V9"/>
  </mergeCells>
  <printOptions/>
  <pageMargins left="1.39" right="0.7874015748031497" top="0.984251968503937" bottom="0.95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3.125" style="0" customWidth="1"/>
    <col min="2" max="2" width="26.25390625" style="0" customWidth="1"/>
    <col min="3" max="3" width="22.25390625" style="0" customWidth="1"/>
    <col min="4" max="4" width="23.75390625" style="0" customWidth="1"/>
  </cols>
  <sheetData>
    <row r="1" spans="4:5" ht="39" customHeight="1">
      <c r="D1" s="589"/>
      <c r="E1" s="589"/>
    </row>
    <row r="2" spans="4:5" ht="46.5" customHeight="1">
      <c r="D2" s="523" t="s">
        <v>730</v>
      </c>
      <c r="E2" s="523"/>
    </row>
    <row r="3" spans="1:5" s="246" customFormat="1" ht="54" customHeight="1">
      <c r="A3" s="590" t="s">
        <v>2</v>
      </c>
      <c r="B3" s="590"/>
      <c r="C3" s="590"/>
      <c r="D3" s="590"/>
      <c r="E3" s="590"/>
    </row>
    <row r="4" ht="28.5" customHeight="1" thickBot="1">
      <c r="D4" s="247"/>
    </row>
    <row r="5" spans="2:4" s="34" customFormat="1" ht="22.5" customHeight="1" thickBot="1">
      <c r="B5" s="430" t="s">
        <v>510</v>
      </c>
      <c r="C5" s="431" t="s">
        <v>0</v>
      </c>
      <c r="D5" s="432" t="s">
        <v>1</v>
      </c>
    </row>
    <row r="6" spans="2:4" ht="11.25" customHeight="1">
      <c r="B6" s="248">
        <v>1</v>
      </c>
      <c r="C6" s="248"/>
      <c r="D6" s="248">
        <v>2</v>
      </c>
    </row>
    <row r="7" spans="2:4" ht="27" customHeight="1">
      <c r="B7" s="41" t="s">
        <v>337</v>
      </c>
      <c r="C7" s="2" t="s">
        <v>339</v>
      </c>
      <c r="D7" s="2">
        <f>'Z 2'!L289</f>
        <v>62500</v>
      </c>
    </row>
    <row r="8" spans="2:4" ht="24" customHeight="1">
      <c r="B8" s="7"/>
      <c r="C8" s="7"/>
      <c r="D8" s="7"/>
    </row>
    <row r="9" spans="2:4" ht="24" customHeight="1">
      <c r="B9" s="7"/>
      <c r="C9" s="7"/>
      <c r="D9" s="7"/>
    </row>
    <row r="10" spans="2:4" ht="24" customHeight="1" thickBot="1">
      <c r="B10" s="66"/>
      <c r="C10" s="66"/>
      <c r="D10" s="66"/>
    </row>
    <row r="11" spans="2:4" s="34" customFormat="1" ht="18.75" customHeight="1" thickBot="1">
      <c r="B11" s="430" t="s">
        <v>338</v>
      </c>
      <c r="C11" s="431" t="str">
        <f>C7</f>
        <v>250.000</v>
      </c>
      <c r="D11" s="432">
        <f>D7</f>
        <v>62500</v>
      </c>
    </row>
    <row r="15" ht="12.75">
      <c r="D15" s="119"/>
    </row>
    <row r="16" ht="26.25" customHeight="1">
      <c r="D16" s="119"/>
    </row>
  </sheetData>
  <mergeCells count="3">
    <mergeCell ref="D1:E1"/>
    <mergeCell ref="D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E1" sqref="E1"/>
    </sheetView>
  </sheetViews>
  <sheetFormatPr defaultColWidth="9.00390625" defaultRowHeight="12.75"/>
  <cols>
    <col min="1" max="1" width="32.875" style="0" customWidth="1"/>
    <col min="2" max="2" width="17.125" style="0" customWidth="1"/>
    <col min="3" max="3" width="15.25390625" style="0" customWidth="1"/>
    <col min="4" max="4" width="15.875" style="0" customWidth="1"/>
  </cols>
  <sheetData>
    <row r="1" spans="2:4" ht="54" customHeight="1">
      <c r="B1" s="440" t="s">
        <v>722</v>
      </c>
      <c r="C1" s="440"/>
      <c r="D1" s="440"/>
    </row>
    <row r="2" spans="1:4" ht="32.25" customHeight="1">
      <c r="A2" s="439" t="s">
        <v>706</v>
      </c>
      <c r="B2" s="439"/>
      <c r="C2" s="439"/>
      <c r="D2" s="439"/>
    </row>
    <row r="3" spans="1:4" ht="18.75" customHeight="1">
      <c r="A3" s="443" t="s">
        <v>591</v>
      </c>
      <c r="B3" s="441" t="s">
        <v>118</v>
      </c>
      <c r="C3" s="441" t="s">
        <v>708</v>
      </c>
      <c r="D3" s="441" t="s">
        <v>707</v>
      </c>
    </row>
    <row r="4" spans="1:4" ht="25.5" customHeight="1">
      <c r="A4" s="443"/>
      <c r="B4" s="442"/>
      <c r="C4" s="442"/>
      <c r="D4" s="442"/>
    </row>
    <row r="5" spans="1:4" ht="14.25" customHeight="1">
      <c r="A5" s="2">
        <v>1</v>
      </c>
      <c r="B5" s="41">
        <v>3</v>
      </c>
      <c r="C5" s="2">
        <v>4</v>
      </c>
      <c r="D5" s="2">
        <v>5</v>
      </c>
    </row>
    <row r="6" spans="1:4" ht="40.5" customHeight="1">
      <c r="A6" s="254" t="s">
        <v>204</v>
      </c>
      <c r="B6" s="259">
        <f>'Z1'!S75</f>
        <v>2035013</v>
      </c>
      <c r="C6" s="259">
        <f>'Z1'!T75</f>
        <v>402263</v>
      </c>
      <c r="D6" s="269">
        <f>C6/C21</f>
        <v>0.03670255386775391</v>
      </c>
    </row>
    <row r="7" spans="1:4" ht="22.5" customHeight="1">
      <c r="A7" s="243" t="s">
        <v>205</v>
      </c>
      <c r="B7" s="259">
        <f>B8+B9</f>
        <v>1469720</v>
      </c>
      <c r="C7" s="259">
        <f>C8+C9</f>
        <v>140954</v>
      </c>
      <c r="D7" s="269">
        <f>C7/C21</f>
        <v>0.012860670203014905</v>
      </c>
    </row>
    <row r="8" spans="1:4" ht="19.5" customHeight="1">
      <c r="A8" s="7" t="s">
        <v>206</v>
      </c>
      <c r="B8" s="4">
        <f>'Z1'!S37</f>
        <v>1409112</v>
      </c>
      <c r="C8" s="4">
        <f>'Z1'!T37</f>
        <v>126889</v>
      </c>
      <c r="D8" s="5">
        <f>C8/C21</f>
        <v>0.011577376884589001</v>
      </c>
    </row>
    <row r="9" spans="1:4" ht="21" customHeight="1">
      <c r="A9" s="7" t="s">
        <v>207</v>
      </c>
      <c r="B9" s="4">
        <f>'Z1'!S36+'Z1'!S55+'Z1'!S112</f>
        <v>60608</v>
      </c>
      <c r="C9" s="4">
        <f>'Z1'!T36+'Z1'!T55+'Z1'!T112</f>
        <v>14065</v>
      </c>
      <c r="D9" s="5">
        <f>C9/C21</f>
        <v>0.0012832933184259022</v>
      </c>
    </row>
    <row r="10" spans="1:4" ht="27.75" customHeight="1">
      <c r="A10" s="254" t="s">
        <v>208</v>
      </c>
      <c r="B10" s="259">
        <f>'Z1'!S21+'Z1'!S22+'Z1'!S23+'Z1'!S24+'Z1'!S25+'Z1'!S26+'Z1'!S47+'Z1'!S62+'Z1'!S93+'Z1'!S94+'Z1'!S95+'Z1'!S96+'Z1'!S98+'Z1'!S99+'Z1'!S100+'Z1'!S101+'Z1'!S102+'Z1'!S103+'Z1'!S106+'Z1'!S120+'Z1'!S121+'Z1'!S124+'Z1'!S125+'Z1'!S126+'Z1'!S127+'Z1'!S130+'Z1'!S133+'Z1'!S140+'Z1'!S141+'Z1'!S142+'Z1'!S146+'Z1'!S147+'Z1'!S148+'Z1'!S149+'Z1'!S151+'Z1'!S153+'Z1'!S152+'Z1'!S155+'Z1'!S156+'Z1'!S157+'Z1'!S158+'Z1'!S161</f>
        <v>788765</v>
      </c>
      <c r="C10" s="259">
        <f>'Z1'!T21+'Z1'!T22+'Z1'!T23+'Z1'!T24+'Z1'!T25+'Z1'!T26+'Z1'!T47+'Z1'!T62+'Z1'!T93+'Z1'!T94+'Z1'!T95+'Z1'!T96+'Z1'!T98+'Z1'!T99+'Z1'!T100+'Z1'!T101+'Z1'!T102+'Z1'!T103+'Z1'!T106+'Z1'!T120+'Z1'!T121+'Z1'!T124+'Z1'!T125+'Z1'!T126+'Z1'!T127+'Z1'!T130+'Z1'!T133+'Z1'!T140+'Z1'!T141+'Z1'!T142+'Z1'!T146+'Z1'!T147+'Z1'!T148+'Z1'!T149+'Z1'!T151+'Z1'!T153+'Z1'!T152+'Z1'!T155+'Z1'!T156+'Z1'!T157+'Z1'!T158+'Z1'!T161</f>
        <v>231589</v>
      </c>
      <c r="D10" s="269">
        <f>C10/C21</f>
        <v>0.021130225120578477</v>
      </c>
    </row>
    <row r="11" spans="1:4" ht="21.75" customHeight="1">
      <c r="A11" s="243" t="s">
        <v>209</v>
      </c>
      <c r="B11" s="259">
        <f>'Z1'!S15+'Z1'!S35+'Z1'!S38+'Z1'!S39+'Z1'!S53+'Z1'!S54+'Z1'!S56+'Z1'!S57+'Z1'!S111+'Z1'!S136+'Z1'!S85</f>
        <v>1297375</v>
      </c>
      <c r="C11" s="259">
        <f>'Z1'!T15+'Z1'!T35+'Z1'!T38+'Z1'!T39+'Z1'!T53+'Z1'!T54+'Z1'!T56+'Z1'!T57+'Z1'!T111+'Z1'!T136+'Z1'!T85</f>
        <v>228706</v>
      </c>
      <c r="D11" s="269">
        <f>C11/C21</f>
        <v>0.020867179643363983</v>
      </c>
    </row>
    <row r="12" spans="1:4" ht="20.25" customHeight="1">
      <c r="A12" s="204" t="s">
        <v>210</v>
      </c>
      <c r="B12" s="270">
        <f>B11+B10+B7+B6</f>
        <v>5590873</v>
      </c>
      <c r="C12" s="270">
        <f>C11+C10+C7+C6</f>
        <v>1003512</v>
      </c>
      <c r="D12" s="225">
        <f>C12/C21</f>
        <v>0.09156062883471128</v>
      </c>
    </row>
    <row r="13" spans="1:4" ht="19.5" customHeight="1">
      <c r="A13" s="243" t="s">
        <v>211</v>
      </c>
      <c r="B13" s="262">
        <f>'Z1'!S81+'Z1'!S83+'Z1'!S86</f>
        <v>16269381</v>
      </c>
      <c r="C13" s="262">
        <f>'Z1'!T81+'Z1'!T83+'Z1'!T87</f>
        <v>5858452</v>
      </c>
      <c r="D13" s="261">
        <f>C13/C21</f>
        <v>0.5345262927777366</v>
      </c>
    </row>
    <row r="14" spans="1:4" ht="21.75" customHeight="1">
      <c r="A14" s="243" t="s">
        <v>212</v>
      </c>
      <c r="B14" s="262">
        <f>B15+B16+B17+B19+B18</f>
        <v>10750351</v>
      </c>
      <c r="C14" s="262">
        <f>C15+C16+C17+C19+C18</f>
        <v>4098118</v>
      </c>
      <c r="D14" s="261">
        <f>C14/C21</f>
        <v>0.3739130783875522</v>
      </c>
    </row>
    <row r="15" spans="1:4" ht="25.5">
      <c r="A15" s="10" t="s">
        <v>409</v>
      </c>
      <c r="B15" s="4">
        <f>'Z1'!S173</f>
        <v>490000</v>
      </c>
      <c r="C15" s="4">
        <f>'Z1'!T173</f>
        <v>143722</v>
      </c>
      <c r="D15" s="5">
        <f>C15/C21</f>
        <v>0.013113223058002669</v>
      </c>
    </row>
    <row r="16" spans="1:4" ht="63.75">
      <c r="A16" s="10" t="s">
        <v>432</v>
      </c>
      <c r="B16" s="4">
        <f>'Z1'!S174</f>
        <v>3305295</v>
      </c>
      <c r="C16" s="4">
        <f>'Z1'!T174</f>
        <v>1017419</v>
      </c>
      <c r="D16" s="5">
        <f>C16/C21</f>
        <v>0.09282950620259958</v>
      </c>
    </row>
    <row r="17" spans="1:4" ht="42.75" customHeight="1">
      <c r="A17" s="10" t="s">
        <v>437</v>
      </c>
      <c r="B17" s="4">
        <f>'Z1'!S175</f>
        <v>1295062</v>
      </c>
      <c r="C17" s="4">
        <f>'Z1'!T175</f>
        <v>211120</v>
      </c>
      <c r="D17" s="5">
        <f>C17/C21</f>
        <v>0.019262629604413543</v>
      </c>
    </row>
    <row r="18" spans="1:4" ht="33.75" customHeight="1">
      <c r="A18" s="10" t="s">
        <v>439</v>
      </c>
      <c r="B18" s="4">
        <f>'Z1'!S176</f>
        <v>654313</v>
      </c>
      <c r="C18" s="4">
        <f>'Z1'!T176</f>
        <v>482100</v>
      </c>
      <c r="D18" s="5">
        <f>C18/C21</f>
        <v>0.04398689717832403</v>
      </c>
    </row>
    <row r="19" spans="1:4" ht="30" customHeight="1">
      <c r="A19" s="11" t="s">
        <v>438</v>
      </c>
      <c r="B19" s="4">
        <f>'Z1'!S177</f>
        <v>5005681</v>
      </c>
      <c r="C19" s="4">
        <f>'Z1'!T177</f>
        <v>2243757</v>
      </c>
      <c r="D19" s="5">
        <f>C19/C21</f>
        <v>0.20472082234421238</v>
      </c>
    </row>
    <row r="20" spans="1:4" ht="24" customHeight="1">
      <c r="A20" s="186" t="s">
        <v>221</v>
      </c>
      <c r="B20" s="184">
        <f>B13+B14</f>
        <v>27019732</v>
      </c>
      <c r="C20" s="184">
        <f>C13+C14</f>
        <v>9956570</v>
      </c>
      <c r="D20" s="185">
        <f>C20/C21</f>
        <v>0.9084393711652887</v>
      </c>
    </row>
    <row r="21" spans="1:4" ht="30" customHeight="1">
      <c r="A21" s="271" t="s">
        <v>222</v>
      </c>
      <c r="B21" s="272">
        <f>B12+B20</f>
        <v>32610605</v>
      </c>
      <c r="C21" s="272">
        <f>C12+C20</f>
        <v>10960082</v>
      </c>
      <c r="D21" s="273">
        <f>C21/C21</f>
        <v>1</v>
      </c>
    </row>
  </sheetData>
  <mergeCells count="6">
    <mergeCell ref="A2:D2"/>
    <mergeCell ref="B1:D1"/>
    <mergeCell ref="D3:D4"/>
    <mergeCell ref="A3:A4"/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24"/>
  <sheetViews>
    <sheetView zoomScaleSheetLayoutView="75" workbookViewId="0" topLeftCell="A1">
      <selection activeCell="N1" sqref="N1:P1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33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2.75390625" style="0" customWidth="1"/>
    <col min="12" max="12" width="11.625" style="0" customWidth="1"/>
    <col min="13" max="13" width="10.875" style="0" customWidth="1"/>
    <col min="14" max="14" width="12.875" style="0" customWidth="1"/>
    <col min="15" max="15" width="13.00390625" style="0" customWidth="1"/>
    <col min="16" max="16" width="13.125" style="0" customWidth="1"/>
  </cols>
  <sheetData>
    <row r="1" spans="1:16" s="200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 s="505" t="s">
        <v>723</v>
      </c>
      <c r="O1" s="505"/>
      <c r="P1" s="505"/>
    </row>
    <row r="2" spans="1:16" s="200" customFormat="1" ht="21" customHeight="1">
      <c r="A2"/>
      <c r="B2"/>
      <c r="C2" s="384" t="s">
        <v>713</v>
      </c>
      <c r="D2"/>
      <c r="E2"/>
      <c r="F2"/>
      <c r="G2"/>
      <c r="H2"/>
      <c r="I2"/>
      <c r="J2"/>
      <c r="K2"/>
      <c r="L2"/>
      <c r="M2"/>
      <c r="N2" s="371"/>
      <c r="O2" s="371"/>
      <c r="P2" s="371"/>
    </row>
    <row r="3" spans="1:16" s="200" customFormat="1" ht="21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 s="371"/>
      <c r="O3" s="371"/>
      <c r="P3" s="371"/>
    </row>
    <row r="4" spans="1:16" s="200" customFormat="1" ht="27.75" customHeight="1" thickBot="1">
      <c r="A4" s="436" t="s">
        <v>592</v>
      </c>
      <c r="B4" s="434" t="s">
        <v>593</v>
      </c>
      <c r="C4" s="494" t="s">
        <v>594</v>
      </c>
      <c r="D4" s="151"/>
      <c r="E4" s="151"/>
      <c r="F4" s="151"/>
      <c r="G4" s="151"/>
      <c r="H4" s="494" t="s">
        <v>589</v>
      </c>
      <c r="I4" s="492" t="s">
        <v>464</v>
      </c>
      <c r="J4" s="493"/>
      <c r="K4" s="494" t="s">
        <v>433</v>
      </c>
      <c r="L4" s="494" t="s">
        <v>705</v>
      </c>
      <c r="M4" s="508" t="s">
        <v>203</v>
      </c>
      <c r="N4" s="511" t="s">
        <v>599</v>
      </c>
      <c r="O4" s="512"/>
      <c r="P4" s="513"/>
    </row>
    <row r="5" spans="1:16" s="200" customFormat="1" ht="21" customHeight="1">
      <c r="A5" s="482"/>
      <c r="B5" s="435"/>
      <c r="C5" s="495"/>
      <c r="D5" s="499" t="s">
        <v>595</v>
      </c>
      <c r="E5" s="502" t="s">
        <v>596</v>
      </c>
      <c r="F5" s="502" t="s">
        <v>597</v>
      </c>
      <c r="G5" s="496" t="s">
        <v>598</v>
      </c>
      <c r="H5" s="495"/>
      <c r="I5" s="501" t="s">
        <v>356</v>
      </c>
      <c r="J5" s="520" t="s">
        <v>357</v>
      </c>
      <c r="K5" s="495"/>
      <c r="L5" s="495"/>
      <c r="M5" s="509"/>
      <c r="N5" s="514"/>
      <c r="O5" s="515"/>
      <c r="P5" s="516"/>
    </row>
    <row r="6" spans="1:16" s="200" customFormat="1" ht="24.75" customHeight="1" thickBot="1">
      <c r="A6" s="482"/>
      <c r="B6" s="435"/>
      <c r="C6" s="495"/>
      <c r="D6" s="500"/>
      <c r="E6" s="502"/>
      <c r="F6" s="502"/>
      <c r="G6" s="496"/>
      <c r="H6" s="495"/>
      <c r="I6" s="506"/>
      <c r="J6" s="521"/>
      <c r="K6" s="495"/>
      <c r="L6" s="495"/>
      <c r="M6" s="509"/>
      <c r="N6" s="517"/>
      <c r="O6" s="518"/>
      <c r="P6" s="519"/>
    </row>
    <row r="7" spans="1:16" s="200" customFormat="1" ht="19.5" customHeight="1" thickBot="1">
      <c r="A7" s="482"/>
      <c r="B7" s="435"/>
      <c r="C7" s="495"/>
      <c r="D7" s="501"/>
      <c r="E7" s="503"/>
      <c r="F7" s="503"/>
      <c r="G7" s="497"/>
      <c r="H7" s="495"/>
      <c r="I7" s="506"/>
      <c r="J7" s="521"/>
      <c r="K7" s="507"/>
      <c r="L7" s="507"/>
      <c r="M7" s="510"/>
      <c r="N7" s="164" t="s">
        <v>600</v>
      </c>
      <c r="O7" s="164" t="s">
        <v>423</v>
      </c>
      <c r="P7" s="164" t="s">
        <v>601</v>
      </c>
    </row>
    <row r="8" spans="1:16" s="200" customFormat="1" ht="12" customHeight="1" thickBot="1">
      <c r="A8" s="120">
        <v>1</v>
      </c>
      <c r="B8" s="121">
        <v>2</v>
      </c>
      <c r="C8" s="122">
        <v>3</v>
      </c>
      <c r="D8" s="122">
        <v>4</v>
      </c>
      <c r="E8" s="122">
        <v>4</v>
      </c>
      <c r="F8" s="122">
        <v>5</v>
      </c>
      <c r="G8" s="122">
        <v>6</v>
      </c>
      <c r="H8" s="122">
        <v>5</v>
      </c>
      <c r="I8" s="122"/>
      <c r="J8" s="122"/>
      <c r="K8" s="157">
        <v>5</v>
      </c>
      <c r="L8" s="157">
        <v>6</v>
      </c>
      <c r="M8" s="157">
        <v>7</v>
      </c>
      <c r="N8" s="61">
        <v>9</v>
      </c>
      <c r="O8" s="122">
        <v>10</v>
      </c>
      <c r="P8" s="122">
        <v>11</v>
      </c>
    </row>
    <row r="9" spans="1:16" s="200" customFormat="1" ht="15" customHeight="1">
      <c r="A9" s="188" t="s">
        <v>602</v>
      </c>
      <c r="B9" s="498"/>
      <c r="C9" s="189" t="s">
        <v>604</v>
      </c>
      <c r="D9" s="189">
        <f>D10+D27</f>
        <v>303000</v>
      </c>
      <c r="E9" s="189">
        <f>E10+E27</f>
        <v>373400</v>
      </c>
      <c r="F9" s="189">
        <f>F10+F27</f>
        <v>0</v>
      </c>
      <c r="G9" s="189">
        <f>G10+G27</f>
        <v>0</v>
      </c>
      <c r="H9" s="189">
        <f>H10+H27+H25+H29</f>
        <v>91800</v>
      </c>
      <c r="I9" s="189">
        <f>I10+I27+I25+I29</f>
        <v>0</v>
      </c>
      <c r="J9" s="189">
        <f>J10+J27+J25+J29</f>
        <v>0</v>
      </c>
      <c r="K9" s="189">
        <f aca="true" t="shared" si="0" ref="K9:P9">K27+K29</f>
        <v>31700</v>
      </c>
      <c r="L9" s="189">
        <f t="shared" si="0"/>
        <v>800</v>
      </c>
      <c r="M9" s="404">
        <f t="shared" si="0"/>
        <v>0.02666666666666667</v>
      </c>
      <c r="N9" s="189">
        <f t="shared" si="0"/>
        <v>800</v>
      </c>
      <c r="O9" s="189">
        <f t="shared" si="0"/>
        <v>0</v>
      </c>
      <c r="P9" s="189">
        <f t="shared" si="0"/>
        <v>0</v>
      </c>
    </row>
    <row r="10" spans="1:16" s="200" customFormat="1" ht="17.25" customHeight="1" hidden="1">
      <c r="A10" s="15" t="s">
        <v>605</v>
      </c>
      <c r="B10" s="490"/>
      <c r="C10" s="6" t="s">
        <v>606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 t="e">
        <f>N11+N12+N13+N14+N15+N16+N17+N18+N19+N21+N22+N24+N23+N20</f>
        <v>#REF!</v>
      </c>
      <c r="O10" s="17">
        <f>O11+O12+O13+O14+O15+O16+O17+O18+O19+O21+O22+O24</f>
        <v>0</v>
      </c>
      <c r="P10" s="17">
        <f>P11+P12+P13+P14+P15+P16+P17+P18+P19+P21+P22+P24</f>
        <v>0</v>
      </c>
    </row>
    <row r="11" spans="1:16" s="200" customFormat="1" ht="12" customHeight="1" hidden="1">
      <c r="A11" s="15"/>
      <c r="B11" s="16" t="s">
        <v>607</v>
      </c>
      <c r="C11" s="18" t="s">
        <v>616</v>
      </c>
      <c r="D11" s="18"/>
      <c r="E11" s="18">
        <v>4100</v>
      </c>
      <c r="F11" s="18">
        <v>0</v>
      </c>
      <c r="G11" s="18">
        <v>0</v>
      </c>
      <c r="H11" s="18"/>
      <c r="I11" s="18"/>
      <c r="J11" s="18"/>
      <c r="K11" s="18"/>
      <c r="L11" s="18"/>
      <c r="M11" s="18"/>
      <c r="N11" s="18"/>
      <c r="O11" s="19"/>
      <c r="P11" s="19"/>
    </row>
    <row r="12" spans="1:16" s="200" customFormat="1" ht="14.25" customHeight="1" hidden="1">
      <c r="A12" s="15"/>
      <c r="B12" s="16" t="s">
        <v>617</v>
      </c>
      <c r="C12" s="20" t="s">
        <v>618</v>
      </c>
      <c r="D12" s="18"/>
      <c r="E12" s="18">
        <v>1760</v>
      </c>
      <c r="F12" s="18">
        <v>0</v>
      </c>
      <c r="G12" s="18">
        <v>0</v>
      </c>
      <c r="H12" s="18"/>
      <c r="I12" s="18"/>
      <c r="J12" s="18"/>
      <c r="K12" s="18"/>
      <c r="L12" s="18"/>
      <c r="M12" s="18"/>
      <c r="N12" s="18"/>
      <c r="O12" s="19"/>
      <c r="P12" s="19"/>
    </row>
    <row r="13" spans="1:16" s="200" customFormat="1" ht="0.75" customHeight="1" hidden="1">
      <c r="A13" s="483"/>
      <c r="B13" s="16" t="s">
        <v>619</v>
      </c>
      <c r="C13" s="10" t="s">
        <v>548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 t="e">
        <f>#REF!</f>
        <v>#REF!</v>
      </c>
      <c r="O13" s="22">
        <v>0</v>
      </c>
      <c r="P13" s="22">
        <v>0</v>
      </c>
    </row>
    <row r="14" spans="1:16" s="200" customFormat="1" ht="26.25" customHeight="1" hidden="1">
      <c r="A14" s="483"/>
      <c r="B14" s="16" t="s">
        <v>621</v>
      </c>
      <c r="C14" s="10" t="s">
        <v>622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 t="e">
        <f>#REF!</f>
        <v>#REF!</v>
      </c>
      <c r="O14" s="22">
        <v>0</v>
      </c>
      <c r="P14" s="22">
        <v>0</v>
      </c>
    </row>
    <row r="15" spans="1:16" s="200" customFormat="1" ht="18" customHeight="1" hidden="1">
      <c r="A15" s="483"/>
      <c r="B15" s="16" t="s">
        <v>623</v>
      </c>
      <c r="C15" s="10" t="s">
        <v>624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 t="e">
        <f>#REF!</f>
        <v>#REF!</v>
      </c>
      <c r="O15" s="22">
        <v>0</v>
      </c>
      <c r="P15" s="22">
        <v>0</v>
      </c>
    </row>
    <row r="16" spans="1:16" s="200" customFormat="1" ht="13.5" customHeight="1" hidden="1">
      <c r="A16" s="483"/>
      <c r="B16" s="23" t="s">
        <v>625</v>
      </c>
      <c r="C16" s="10" t="s">
        <v>626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 t="e">
        <f>#REF!</f>
        <v>#REF!</v>
      </c>
      <c r="O16" s="22">
        <v>0</v>
      </c>
      <c r="P16" s="22">
        <v>0</v>
      </c>
    </row>
    <row r="17" spans="1:16" s="200" customFormat="1" ht="13.5" customHeight="1" hidden="1">
      <c r="A17" s="483"/>
      <c r="B17" s="23" t="s">
        <v>627</v>
      </c>
      <c r="C17" s="10" t="s">
        <v>628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 t="e">
        <f>#REF!</f>
        <v>#REF!</v>
      </c>
      <c r="O17" s="22">
        <v>0</v>
      </c>
      <c r="P17" s="22">
        <v>0</v>
      </c>
    </row>
    <row r="18" spans="1:16" s="200" customFormat="1" ht="13.5" customHeight="1" hidden="1">
      <c r="A18" s="483"/>
      <c r="B18" s="23" t="s">
        <v>629</v>
      </c>
      <c r="C18" s="10" t="s">
        <v>630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 t="e">
        <f>#REF!</f>
        <v>#REF!</v>
      </c>
      <c r="O18" s="22">
        <v>0</v>
      </c>
      <c r="P18" s="22">
        <v>0</v>
      </c>
    </row>
    <row r="19" spans="1:16" s="200" customFormat="1" ht="0.75" customHeight="1" hidden="1">
      <c r="A19" s="483"/>
      <c r="B19" s="23" t="s">
        <v>631</v>
      </c>
      <c r="C19" s="10" t="s">
        <v>632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 t="e">
        <f>#REF!</f>
        <v>#REF!</v>
      </c>
      <c r="O19" s="22">
        <v>0</v>
      </c>
      <c r="P19" s="22">
        <v>0</v>
      </c>
    </row>
    <row r="20" spans="1:16" s="200" customFormat="1" ht="15" customHeight="1" hidden="1">
      <c r="A20" s="483"/>
      <c r="B20" s="23" t="s">
        <v>633</v>
      </c>
      <c r="C20" s="10" t="s">
        <v>634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 t="e">
        <f>#REF!</f>
        <v>#REF!</v>
      </c>
      <c r="O20" s="22">
        <v>0</v>
      </c>
      <c r="P20" s="22">
        <v>0</v>
      </c>
    </row>
    <row r="21" spans="1:16" s="200" customFormat="1" ht="15.75" customHeight="1" hidden="1">
      <c r="A21" s="483"/>
      <c r="B21" s="23" t="s">
        <v>635</v>
      </c>
      <c r="C21" s="10" t="s">
        <v>636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 t="e">
        <f>#REF!</f>
        <v>#REF!</v>
      </c>
      <c r="O21" s="22">
        <v>0</v>
      </c>
      <c r="P21" s="22">
        <v>0</v>
      </c>
    </row>
    <row r="22" spans="1:16" s="200" customFormat="1" ht="16.5" customHeight="1" hidden="1">
      <c r="A22" s="483"/>
      <c r="B22" s="23" t="s">
        <v>637</v>
      </c>
      <c r="C22" s="10" t="s">
        <v>638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 t="e">
        <f>#REF!</f>
        <v>#REF!</v>
      </c>
      <c r="O22" s="22">
        <v>0</v>
      </c>
      <c r="P22" s="22">
        <v>0</v>
      </c>
    </row>
    <row r="23" spans="1:16" s="200" customFormat="1" ht="16.5" customHeight="1" hidden="1">
      <c r="A23" s="483"/>
      <c r="B23" s="23" t="s">
        <v>639</v>
      </c>
      <c r="C23" s="10" t="s">
        <v>640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 t="e">
        <f>#REF!</f>
        <v>#REF!</v>
      </c>
      <c r="O23" s="22">
        <v>0</v>
      </c>
      <c r="P23" s="22">
        <v>0</v>
      </c>
    </row>
    <row r="24" spans="1:16" s="200" customFormat="1" ht="16.5" customHeight="1" hidden="1">
      <c r="A24" s="483"/>
      <c r="B24" s="16" t="s">
        <v>641</v>
      </c>
      <c r="C24" s="7" t="s">
        <v>642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 t="e">
        <f>#REF!</f>
        <v>#REF!</v>
      </c>
      <c r="O24" s="22">
        <v>0</v>
      </c>
      <c r="P24" s="22">
        <v>0</v>
      </c>
    </row>
    <row r="25" spans="1:16" s="200" customFormat="1" ht="27.75" customHeight="1" hidden="1">
      <c r="A25" s="24" t="s">
        <v>489</v>
      </c>
      <c r="B25" s="25"/>
      <c r="C25" s="3" t="s">
        <v>490</v>
      </c>
      <c r="D25" s="6"/>
      <c r="E25" s="6"/>
      <c r="F25" s="6"/>
      <c r="G25" s="6"/>
      <c r="H25" s="6">
        <f aca="true" t="shared" si="1" ref="H25:P25">H26</f>
        <v>0</v>
      </c>
      <c r="I25" s="6">
        <f t="shared" si="1"/>
        <v>0</v>
      </c>
      <c r="J25" s="6">
        <f t="shared" si="1"/>
        <v>0</v>
      </c>
      <c r="K25" s="6"/>
      <c r="L25" s="6"/>
      <c r="M25" s="6"/>
      <c r="N25" s="6" t="e">
        <f t="shared" si="1"/>
        <v>#REF!</v>
      </c>
      <c r="O25" s="6">
        <f t="shared" si="1"/>
        <v>0</v>
      </c>
      <c r="P25" s="6">
        <f t="shared" si="1"/>
        <v>0</v>
      </c>
    </row>
    <row r="26" spans="1:16" s="200" customFormat="1" ht="18.75" customHeight="1" hidden="1">
      <c r="A26" s="24"/>
      <c r="B26" s="29" t="s">
        <v>629</v>
      </c>
      <c r="C26" s="27" t="s">
        <v>630</v>
      </c>
      <c r="D26" s="18"/>
      <c r="E26" s="18"/>
      <c r="F26" s="18"/>
      <c r="G26" s="18"/>
      <c r="H26" s="18">
        <v>0</v>
      </c>
      <c r="I26" s="18">
        <v>0</v>
      </c>
      <c r="J26" s="18">
        <v>0</v>
      </c>
      <c r="K26" s="18"/>
      <c r="L26" s="18"/>
      <c r="M26" s="18"/>
      <c r="N26" s="18" t="e">
        <f>#REF!</f>
        <v>#REF!</v>
      </c>
      <c r="O26" s="22">
        <v>0</v>
      </c>
      <c r="P26" s="22">
        <v>0</v>
      </c>
    </row>
    <row r="27" spans="1:16" s="200" customFormat="1" ht="21" customHeight="1">
      <c r="A27" s="215" t="s">
        <v>643</v>
      </c>
      <c r="B27" s="226"/>
      <c r="C27" s="227" t="s">
        <v>340</v>
      </c>
      <c r="D27" s="186">
        <f aca="true" t="shared" si="2" ref="D27:P27">D28</f>
        <v>0</v>
      </c>
      <c r="E27" s="186">
        <f t="shared" si="2"/>
        <v>37400</v>
      </c>
      <c r="F27" s="186">
        <f t="shared" si="2"/>
        <v>0</v>
      </c>
      <c r="G27" s="186">
        <f t="shared" si="2"/>
        <v>0</v>
      </c>
      <c r="H27" s="186">
        <f t="shared" si="2"/>
        <v>45000</v>
      </c>
      <c r="I27" s="186">
        <f t="shared" si="2"/>
        <v>0</v>
      </c>
      <c r="J27" s="186">
        <f t="shared" si="2"/>
        <v>0</v>
      </c>
      <c r="K27" s="186">
        <f>K28</f>
        <v>30000</v>
      </c>
      <c r="L27" s="186">
        <f>L28</f>
        <v>800</v>
      </c>
      <c r="M27" s="185">
        <f>M28</f>
        <v>0.02666666666666667</v>
      </c>
      <c r="N27" s="186">
        <f t="shared" si="2"/>
        <v>800</v>
      </c>
      <c r="O27" s="182">
        <f t="shared" si="2"/>
        <v>0</v>
      </c>
      <c r="P27" s="182">
        <f t="shared" si="2"/>
        <v>0</v>
      </c>
    </row>
    <row r="28" spans="1:16" s="200" customFormat="1" ht="15.75" customHeight="1">
      <c r="A28" s="21"/>
      <c r="B28" s="16" t="s">
        <v>635</v>
      </c>
      <c r="C28" s="344" t="s">
        <v>636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>
        <v>800</v>
      </c>
      <c r="M28" s="5">
        <f>L28/K28</f>
        <v>0.02666666666666667</v>
      </c>
      <c r="N28" s="7">
        <f>L28</f>
        <v>800</v>
      </c>
      <c r="O28" s="22">
        <v>0</v>
      </c>
      <c r="P28" s="22">
        <v>0</v>
      </c>
    </row>
    <row r="29" spans="1:16" s="200" customFormat="1" ht="15.75" customHeight="1">
      <c r="A29" s="215" t="s">
        <v>367</v>
      </c>
      <c r="B29" s="226"/>
      <c r="C29" s="214" t="s">
        <v>692</v>
      </c>
      <c r="D29" s="186"/>
      <c r="E29" s="186"/>
      <c r="F29" s="186"/>
      <c r="G29" s="186"/>
      <c r="H29" s="186">
        <f aca="true" t="shared" si="3" ref="H29:P29">H30</f>
        <v>1200</v>
      </c>
      <c r="I29" s="186">
        <f t="shared" si="3"/>
        <v>0</v>
      </c>
      <c r="J29" s="186">
        <f t="shared" si="3"/>
        <v>0</v>
      </c>
      <c r="K29" s="186">
        <f>K30</f>
        <v>1700</v>
      </c>
      <c r="L29" s="186">
        <f>L30</f>
        <v>0</v>
      </c>
      <c r="M29" s="186">
        <f>M30</f>
        <v>0</v>
      </c>
      <c r="N29" s="186">
        <f t="shared" si="3"/>
        <v>0</v>
      </c>
      <c r="O29" s="186">
        <f t="shared" si="3"/>
        <v>0</v>
      </c>
      <c r="P29" s="186">
        <f t="shared" si="3"/>
        <v>0</v>
      </c>
    </row>
    <row r="30" spans="1:16" s="200" customFormat="1" ht="24" customHeight="1">
      <c r="A30" s="21"/>
      <c r="B30" s="16" t="s">
        <v>681</v>
      </c>
      <c r="C30" s="344" t="s">
        <v>542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>
        <v>0</v>
      </c>
      <c r="M30" s="7">
        <v>0</v>
      </c>
      <c r="N30" s="7">
        <v>0</v>
      </c>
      <c r="O30" s="22">
        <v>0</v>
      </c>
      <c r="P30" s="22">
        <f>L30</f>
        <v>0</v>
      </c>
    </row>
    <row r="31" spans="1:16" s="200" customFormat="1" ht="15" customHeight="1">
      <c r="A31" s="190" t="s">
        <v>644</v>
      </c>
      <c r="B31" s="490"/>
      <c r="C31" s="191" t="s">
        <v>645</v>
      </c>
      <c r="D31" s="191">
        <f aca="true" t="shared" si="4" ref="D31:G32">D32</f>
        <v>29992</v>
      </c>
      <c r="E31" s="191">
        <f t="shared" si="4"/>
        <v>21000</v>
      </c>
      <c r="F31" s="191">
        <f t="shared" si="4"/>
        <v>0</v>
      </c>
      <c r="G31" s="191">
        <f t="shared" si="4"/>
        <v>0</v>
      </c>
      <c r="H31" s="191" t="e">
        <f aca="true" t="shared" si="5" ref="H31:P31">H32+H34</f>
        <v>#REF!</v>
      </c>
      <c r="I31" s="191" t="e">
        <f t="shared" si="5"/>
        <v>#REF!</v>
      </c>
      <c r="J31" s="191" t="e">
        <f t="shared" si="5"/>
        <v>#REF!</v>
      </c>
      <c r="K31" s="191">
        <f>K32+K34</f>
        <v>153909</v>
      </c>
      <c r="L31" s="191">
        <f>L32+L34</f>
        <v>37405</v>
      </c>
      <c r="M31" s="405">
        <f>L31/K31</f>
        <v>0.2430332209292504</v>
      </c>
      <c r="N31" s="191">
        <f t="shared" si="5"/>
        <v>0</v>
      </c>
      <c r="O31" s="191">
        <f t="shared" si="5"/>
        <v>37405</v>
      </c>
      <c r="P31" s="191">
        <f t="shared" si="5"/>
        <v>0</v>
      </c>
    </row>
    <row r="32" spans="1:16" s="200" customFormat="1" ht="13.5" customHeight="1">
      <c r="A32" s="15" t="s">
        <v>494</v>
      </c>
      <c r="B32" s="490"/>
      <c r="C32" s="186" t="s">
        <v>493</v>
      </c>
      <c r="D32" s="186">
        <f t="shared" si="4"/>
        <v>29992</v>
      </c>
      <c r="E32" s="186">
        <f t="shared" si="4"/>
        <v>21000</v>
      </c>
      <c r="F32" s="186">
        <f t="shared" si="4"/>
        <v>0</v>
      </c>
      <c r="G32" s="186">
        <f t="shared" si="4"/>
        <v>0</v>
      </c>
      <c r="H32" s="186">
        <f aca="true" t="shared" si="6" ref="H32:O32">H33</f>
        <v>83025</v>
      </c>
      <c r="I32" s="186">
        <f t="shared" si="6"/>
        <v>0</v>
      </c>
      <c r="J32" s="186">
        <f t="shared" si="6"/>
        <v>0</v>
      </c>
      <c r="K32" s="186">
        <f>K33</f>
        <v>141159</v>
      </c>
      <c r="L32" s="186">
        <f>L33</f>
        <v>34262</v>
      </c>
      <c r="M32" s="185">
        <f aca="true" t="shared" si="7" ref="M32:M94">L32/K32</f>
        <v>0.2427192031680587</v>
      </c>
      <c r="N32" s="186">
        <f t="shared" si="6"/>
        <v>0</v>
      </c>
      <c r="O32" s="182">
        <f t="shared" si="6"/>
        <v>34262</v>
      </c>
      <c r="P32" s="182">
        <f>P33</f>
        <v>0</v>
      </c>
    </row>
    <row r="33" spans="1:16" s="200" customFormat="1" ht="16.5" customHeight="1">
      <c r="A33" s="26"/>
      <c r="B33" s="16" t="s">
        <v>617</v>
      </c>
      <c r="C33" s="245" t="s">
        <v>685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>
        <v>34262</v>
      </c>
      <c r="M33" s="312">
        <f t="shared" si="7"/>
        <v>0.2427192031680587</v>
      </c>
      <c r="N33" s="7">
        <v>0</v>
      </c>
      <c r="O33" s="22">
        <f>L33</f>
        <v>34262</v>
      </c>
      <c r="P33" s="22">
        <v>0</v>
      </c>
    </row>
    <row r="34" spans="1:16" s="200" customFormat="1" ht="16.5" customHeight="1">
      <c r="A34" s="213" t="s">
        <v>646</v>
      </c>
      <c r="B34" s="350"/>
      <c r="C34" s="186" t="s">
        <v>647</v>
      </c>
      <c r="D34" s="349"/>
      <c r="E34" s="349"/>
      <c r="F34" s="349"/>
      <c r="G34" s="349"/>
      <c r="H34" s="186" t="e">
        <f>H35+#REF!</f>
        <v>#REF!</v>
      </c>
      <c r="I34" s="186" t="e">
        <f>I35+#REF!</f>
        <v>#REF!</v>
      </c>
      <c r="J34" s="186" t="e">
        <f>J35+#REF!</f>
        <v>#REF!</v>
      </c>
      <c r="K34" s="186">
        <f>K35</f>
        <v>12750</v>
      </c>
      <c r="L34" s="186">
        <f>L35</f>
        <v>3143</v>
      </c>
      <c r="M34" s="185">
        <f t="shared" si="7"/>
        <v>0.24650980392156863</v>
      </c>
      <c r="N34" s="186">
        <f>N35</f>
        <v>0</v>
      </c>
      <c r="O34" s="186">
        <f>O35</f>
        <v>3143</v>
      </c>
      <c r="P34" s="186">
        <f>P35</f>
        <v>0</v>
      </c>
    </row>
    <row r="35" spans="1:16" s="200" customFormat="1" ht="16.5" customHeight="1">
      <c r="A35" s="26"/>
      <c r="B35" s="16" t="s">
        <v>635</v>
      </c>
      <c r="C35" s="245" t="s">
        <v>636</v>
      </c>
      <c r="D35" s="7"/>
      <c r="E35" s="7"/>
      <c r="F35" s="7"/>
      <c r="G35" s="7"/>
      <c r="H35" s="7">
        <v>10058</v>
      </c>
      <c r="I35" s="7">
        <v>0</v>
      </c>
      <c r="J35" s="7">
        <v>0</v>
      </c>
      <c r="K35" s="7">
        <v>12750</v>
      </c>
      <c r="L35" s="7">
        <v>3143</v>
      </c>
      <c r="M35" s="312">
        <f t="shared" si="7"/>
        <v>0.24650980392156863</v>
      </c>
      <c r="N35" s="7">
        <v>0</v>
      </c>
      <c r="O35" s="22">
        <f>L35</f>
        <v>3143</v>
      </c>
      <c r="P35" s="22">
        <v>0</v>
      </c>
    </row>
    <row r="36" spans="1:16" s="200" customFormat="1" ht="17.25" customHeight="1">
      <c r="A36" s="190" t="s">
        <v>648</v>
      </c>
      <c r="B36" s="192"/>
      <c r="C36" s="191" t="s">
        <v>649</v>
      </c>
      <c r="D36" s="191" t="e">
        <f aca="true" t="shared" si="8" ref="D36:O36">D37</f>
        <v>#REF!</v>
      </c>
      <c r="E36" s="191" t="e">
        <f t="shared" si="8"/>
        <v>#REF!</v>
      </c>
      <c r="F36" s="191" t="e">
        <f t="shared" si="8"/>
        <v>#REF!</v>
      </c>
      <c r="G36" s="191" t="e">
        <f t="shared" si="8"/>
        <v>#REF!</v>
      </c>
      <c r="H36" s="191" t="e">
        <f t="shared" si="8"/>
        <v>#REF!</v>
      </c>
      <c r="I36" s="191" t="e">
        <f t="shared" si="8"/>
        <v>#REF!</v>
      </c>
      <c r="J36" s="191" t="e">
        <f t="shared" si="8"/>
        <v>#REF!</v>
      </c>
      <c r="K36" s="191">
        <f>K37</f>
        <v>4044080</v>
      </c>
      <c r="L36" s="191">
        <f>L37</f>
        <v>371681</v>
      </c>
      <c r="M36" s="405">
        <f t="shared" si="7"/>
        <v>0.09190743012007675</v>
      </c>
      <c r="N36" s="191">
        <f t="shared" si="8"/>
        <v>0</v>
      </c>
      <c r="O36" s="193">
        <f t="shared" si="8"/>
        <v>371681</v>
      </c>
      <c r="P36" s="193">
        <f>P37</f>
        <v>0</v>
      </c>
    </row>
    <row r="37" spans="1:16" s="200" customFormat="1" ht="14.25" customHeight="1">
      <c r="A37" s="213" t="s">
        <v>650</v>
      </c>
      <c r="B37" s="350"/>
      <c r="C37" s="186" t="s">
        <v>651</v>
      </c>
      <c r="D37" s="186" t="e">
        <f>D40+D41+D42+D39+#REF!+D55</f>
        <v>#REF!</v>
      </c>
      <c r="E37" s="186" t="e">
        <f>E40+E41+E42+E43+E39+#REF!+E45+E46+E47+E48+E50+E51+E52+E53+#REF!+E54+E55+#REF!</f>
        <v>#REF!</v>
      </c>
      <c r="F37" s="186" t="e">
        <f>F40+F41+F42+F43+F39+#REF!+F45+F46+F47+F48+F50+F51+F52+F53+F54+F55+#REF!+#REF!</f>
        <v>#REF!</v>
      </c>
      <c r="G37" s="186" t="e">
        <f>G40+G41+G42+G43+G39+#REF!+G45+G46+G47+G48+G50+G51+G52+G53+G54+G55+#REF!+#REF!</f>
        <v>#REF!</v>
      </c>
      <c r="H37" s="186" t="e">
        <f>H40+H41+H42+H43+H39+#REF!+H45+H46+H47+H48+H50+H51+H52+H53+H54+H55+#REF!+#REF!+#REF!+H38+#REF!</f>
        <v>#REF!</v>
      </c>
      <c r="I37" s="186" t="e">
        <f>I40+I41+I42+I43+I39+#REF!+I45+I46+I47+I48+I50+I51+I52+I53+I54+I55+#REF!+#REF!+#REF!+I38+#REF!</f>
        <v>#REF!</v>
      </c>
      <c r="J37" s="186" t="e">
        <f>J40+J41+J42+J43+J39+#REF!+J45+J46+J47+J48+J50+J51+J52+J53+J54+J55+#REF!+#REF!+#REF!+J38+#REF!</f>
        <v>#REF!</v>
      </c>
      <c r="K37" s="186">
        <f>SUM(K38:K57)</f>
        <v>4044080</v>
      </c>
      <c r="L37" s="186">
        <f>SUM(L38:L57)</f>
        <v>371681</v>
      </c>
      <c r="M37" s="185">
        <f t="shared" si="7"/>
        <v>0.09190743012007675</v>
      </c>
      <c r="N37" s="186">
        <f>N40+N41+N42+N43+N44+N39+N45+N46+N47+N48+N49+N50+N51+N52+N53+N54+N56+N57+N38</f>
        <v>0</v>
      </c>
      <c r="O37" s="186">
        <f>O38+O39+O40+O41+O42+O43+O44+O45+O46+O47+O48+O49+O50+O51+O52+O53+O54+O55+O56+O57</f>
        <v>371681</v>
      </c>
      <c r="P37" s="186">
        <f>P38+P39+P40+P41+P42+P43+P44+P45+P46+P47+P48+P49+P50+P51+P52+P53+P54+P55+P56+P57</f>
        <v>0</v>
      </c>
    </row>
    <row r="38" spans="1:16" s="200" customFormat="1" ht="13.5" customHeight="1">
      <c r="A38" s="21"/>
      <c r="B38" s="16" t="s">
        <v>681</v>
      </c>
      <c r="C38" s="10" t="s">
        <v>682</v>
      </c>
      <c r="D38" s="7"/>
      <c r="E38" s="18"/>
      <c r="F38" s="18"/>
      <c r="G38" s="18"/>
      <c r="H38" s="18">
        <v>40000</v>
      </c>
      <c r="I38" s="7">
        <v>0</v>
      </c>
      <c r="J38" s="7">
        <v>0</v>
      </c>
      <c r="K38" s="7">
        <v>50000</v>
      </c>
      <c r="L38" s="7">
        <v>0</v>
      </c>
      <c r="M38" s="312">
        <f t="shared" si="7"/>
        <v>0</v>
      </c>
      <c r="N38" s="7">
        <v>0</v>
      </c>
      <c r="O38" s="19">
        <v>0</v>
      </c>
      <c r="P38" s="22">
        <f>L38</f>
        <v>0</v>
      </c>
    </row>
    <row r="39" spans="1:16" s="362" customFormat="1" ht="14.25" customHeight="1">
      <c r="A39" s="21"/>
      <c r="B39" s="16" t="s">
        <v>607</v>
      </c>
      <c r="C39" s="187" t="s">
        <v>655</v>
      </c>
      <c r="D39" s="187">
        <v>1296250</v>
      </c>
      <c r="E39" s="101">
        <v>4000</v>
      </c>
      <c r="F39" s="101">
        <v>0</v>
      </c>
      <c r="G39" s="101">
        <v>0</v>
      </c>
      <c r="H39" s="101">
        <v>6000</v>
      </c>
      <c r="I39" s="187">
        <v>0</v>
      </c>
      <c r="J39" s="187">
        <v>0</v>
      </c>
      <c r="K39" s="187">
        <v>4000</v>
      </c>
      <c r="L39" s="187">
        <v>96</v>
      </c>
      <c r="M39" s="312">
        <f t="shared" si="7"/>
        <v>0.024</v>
      </c>
      <c r="N39" s="187">
        <v>0</v>
      </c>
      <c r="O39" s="22">
        <f>L39</f>
        <v>96</v>
      </c>
      <c r="P39" s="22">
        <v>0</v>
      </c>
    </row>
    <row r="40" spans="1:16" s="200" customFormat="1" ht="15" customHeight="1">
      <c r="A40" s="21"/>
      <c r="B40" s="16" t="s">
        <v>619</v>
      </c>
      <c r="C40" s="10" t="s">
        <v>620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>
        <v>82327</v>
      </c>
      <c r="M40" s="312">
        <f t="shared" si="7"/>
        <v>0.22561090908094392</v>
      </c>
      <c r="N40" s="7">
        <v>0</v>
      </c>
      <c r="O40" s="22">
        <f aca="true" t="shared" si="9" ref="O40:O57">L40</f>
        <v>82327</v>
      </c>
      <c r="P40" s="22">
        <v>0</v>
      </c>
    </row>
    <row r="41" spans="1:16" s="200" customFormat="1" ht="15.75" customHeight="1">
      <c r="A41" s="21"/>
      <c r="B41" s="16" t="s">
        <v>623</v>
      </c>
      <c r="C41" s="10" t="s">
        <v>624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27054</v>
      </c>
      <c r="L41" s="7">
        <v>26868</v>
      </c>
      <c r="M41" s="312">
        <f t="shared" si="7"/>
        <v>0.9931248613883344</v>
      </c>
      <c r="N41" s="7">
        <v>0</v>
      </c>
      <c r="O41" s="22">
        <f t="shared" si="9"/>
        <v>26868</v>
      </c>
      <c r="P41" s="22">
        <v>0</v>
      </c>
    </row>
    <row r="42" spans="1:16" s="200" customFormat="1" ht="15" customHeight="1">
      <c r="A42" s="21"/>
      <c r="B42" s="23" t="s">
        <v>652</v>
      </c>
      <c r="C42" s="10" t="s">
        <v>653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>
        <v>18043</v>
      </c>
      <c r="M42" s="312">
        <f t="shared" si="7"/>
        <v>0.26568205913535164</v>
      </c>
      <c r="N42" s="7">
        <v>0</v>
      </c>
      <c r="O42" s="22">
        <f t="shared" si="9"/>
        <v>18043</v>
      </c>
      <c r="P42" s="22">
        <v>0</v>
      </c>
    </row>
    <row r="43" spans="1:16" s="200" customFormat="1" ht="14.25" customHeight="1">
      <c r="A43" s="21"/>
      <c r="B43" s="23" t="s">
        <v>627</v>
      </c>
      <c r="C43" s="10" t="s">
        <v>628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>
        <v>2540</v>
      </c>
      <c r="M43" s="312">
        <f t="shared" si="7"/>
        <v>0.27064464571124136</v>
      </c>
      <c r="N43" s="7">
        <v>0</v>
      </c>
      <c r="O43" s="22">
        <f t="shared" si="9"/>
        <v>2540</v>
      </c>
      <c r="P43" s="22">
        <v>0</v>
      </c>
    </row>
    <row r="44" spans="1:16" s="200" customFormat="1" ht="12.75" customHeight="1">
      <c r="A44" s="21"/>
      <c r="B44" s="23" t="s">
        <v>470</v>
      </c>
      <c r="C44" s="10" t="s">
        <v>483</v>
      </c>
      <c r="D44" s="7"/>
      <c r="E44" s="7"/>
      <c r="F44" s="7"/>
      <c r="G44" s="7"/>
      <c r="H44" s="7"/>
      <c r="I44" s="7"/>
      <c r="J44" s="7"/>
      <c r="K44" s="7">
        <v>25000</v>
      </c>
      <c r="L44" s="7">
        <v>0</v>
      </c>
      <c r="M44" s="312">
        <f t="shared" si="7"/>
        <v>0</v>
      </c>
      <c r="N44" s="7">
        <v>0</v>
      </c>
      <c r="O44" s="22">
        <f t="shared" si="9"/>
        <v>0</v>
      </c>
      <c r="P44" s="22">
        <v>0</v>
      </c>
    </row>
    <row r="45" spans="1:16" s="200" customFormat="1" ht="12.75" customHeight="1">
      <c r="A45" s="21"/>
      <c r="B45" s="16" t="s">
        <v>629</v>
      </c>
      <c r="C45" s="27" t="s">
        <v>656</v>
      </c>
      <c r="D45" s="7"/>
      <c r="E45" s="18">
        <v>130378</v>
      </c>
      <c r="F45" s="18">
        <v>40000</v>
      </c>
      <c r="G45" s="18">
        <v>0</v>
      </c>
      <c r="H45" s="18">
        <v>140000</v>
      </c>
      <c r="I45" s="7">
        <v>0</v>
      </c>
      <c r="J45" s="7">
        <v>0</v>
      </c>
      <c r="K45" s="7">
        <v>200260</v>
      </c>
      <c r="L45" s="7">
        <v>80480</v>
      </c>
      <c r="M45" s="312">
        <f t="shared" si="7"/>
        <v>0.401877559173075</v>
      </c>
      <c r="N45" s="7">
        <v>0</v>
      </c>
      <c r="O45" s="22">
        <f t="shared" si="9"/>
        <v>80480</v>
      </c>
      <c r="P45" s="22">
        <v>0</v>
      </c>
    </row>
    <row r="46" spans="1:16" s="200" customFormat="1" ht="13.5" customHeight="1">
      <c r="A46" s="21"/>
      <c r="B46" s="16" t="s">
        <v>631</v>
      </c>
      <c r="C46" s="27" t="s">
        <v>632</v>
      </c>
      <c r="D46" s="7"/>
      <c r="E46" s="18">
        <v>33000</v>
      </c>
      <c r="F46" s="18">
        <v>5000</v>
      </c>
      <c r="G46" s="18">
        <v>0</v>
      </c>
      <c r="H46" s="18">
        <v>30000</v>
      </c>
      <c r="I46" s="7">
        <v>0</v>
      </c>
      <c r="J46" s="7">
        <v>0</v>
      </c>
      <c r="K46" s="7">
        <v>31100</v>
      </c>
      <c r="L46" s="7">
        <v>9211</v>
      </c>
      <c r="M46" s="312">
        <f t="shared" si="7"/>
        <v>0.29617363344051445</v>
      </c>
      <c r="N46" s="7">
        <v>0</v>
      </c>
      <c r="O46" s="22">
        <f t="shared" si="9"/>
        <v>9211</v>
      </c>
      <c r="P46" s="22">
        <v>0</v>
      </c>
    </row>
    <row r="47" spans="1:16" s="200" customFormat="1" ht="13.5" customHeight="1">
      <c r="A47" s="21"/>
      <c r="B47" s="16" t="s">
        <v>633</v>
      </c>
      <c r="C47" s="27" t="s">
        <v>634</v>
      </c>
      <c r="D47" s="7"/>
      <c r="E47" s="18">
        <v>613990</v>
      </c>
      <c r="F47" s="18">
        <v>0</v>
      </c>
      <c r="G47" s="18">
        <v>500000</v>
      </c>
      <c r="H47" s="18">
        <v>7000</v>
      </c>
      <c r="I47" s="7">
        <v>0</v>
      </c>
      <c r="J47" s="7">
        <v>0</v>
      </c>
      <c r="K47" s="7">
        <v>67000</v>
      </c>
      <c r="L47" s="7">
        <v>4603</v>
      </c>
      <c r="M47" s="312">
        <f t="shared" si="7"/>
        <v>0.06870149253731343</v>
      </c>
      <c r="N47" s="7">
        <v>0</v>
      </c>
      <c r="O47" s="22">
        <f t="shared" si="9"/>
        <v>4603</v>
      </c>
      <c r="P47" s="22">
        <v>0</v>
      </c>
    </row>
    <row r="48" spans="1:16" s="200" customFormat="1" ht="14.25" customHeight="1">
      <c r="A48" s="21"/>
      <c r="B48" s="16" t="s">
        <v>635</v>
      </c>
      <c r="C48" s="27" t="s">
        <v>636</v>
      </c>
      <c r="D48" s="7"/>
      <c r="E48" s="18">
        <v>828700</v>
      </c>
      <c r="F48" s="18">
        <v>0</v>
      </c>
      <c r="G48" s="18">
        <v>142451</v>
      </c>
      <c r="H48" s="18">
        <v>412661</v>
      </c>
      <c r="I48" s="7">
        <v>0</v>
      </c>
      <c r="J48" s="7">
        <v>0</v>
      </c>
      <c r="K48" s="7">
        <v>326244</v>
      </c>
      <c r="L48" s="7">
        <v>139060</v>
      </c>
      <c r="M48" s="312">
        <f t="shared" si="7"/>
        <v>0.42624538688834124</v>
      </c>
      <c r="N48" s="7">
        <v>0</v>
      </c>
      <c r="O48" s="22">
        <f t="shared" si="9"/>
        <v>139060</v>
      </c>
      <c r="P48" s="22">
        <v>0</v>
      </c>
    </row>
    <row r="49" spans="1:16" s="200" customFormat="1" ht="14.25" customHeight="1">
      <c r="A49" s="21"/>
      <c r="B49" s="16" t="s">
        <v>484</v>
      </c>
      <c r="C49" s="27" t="s">
        <v>485</v>
      </c>
      <c r="D49" s="7"/>
      <c r="E49" s="18"/>
      <c r="F49" s="18"/>
      <c r="G49" s="18"/>
      <c r="H49" s="18"/>
      <c r="I49" s="7"/>
      <c r="J49" s="7"/>
      <c r="K49" s="7">
        <v>3700</v>
      </c>
      <c r="L49" s="7">
        <v>911</v>
      </c>
      <c r="M49" s="312">
        <f t="shared" si="7"/>
        <v>0.24621621621621623</v>
      </c>
      <c r="N49" s="7">
        <v>0</v>
      </c>
      <c r="O49" s="22">
        <f t="shared" si="9"/>
        <v>911</v>
      </c>
      <c r="P49" s="22">
        <v>0</v>
      </c>
    </row>
    <row r="50" spans="1:16" s="200" customFormat="1" ht="14.25" customHeight="1">
      <c r="A50" s="21"/>
      <c r="B50" s="16" t="s">
        <v>637</v>
      </c>
      <c r="C50" s="27" t="s">
        <v>638</v>
      </c>
      <c r="D50" s="7"/>
      <c r="E50" s="18">
        <v>660</v>
      </c>
      <c r="F50" s="18">
        <v>0</v>
      </c>
      <c r="G50" s="18">
        <v>300</v>
      </c>
      <c r="H50" s="18">
        <v>500</v>
      </c>
      <c r="I50" s="7">
        <v>0</v>
      </c>
      <c r="J50" s="7">
        <v>0</v>
      </c>
      <c r="K50" s="7">
        <v>1500</v>
      </c>
      <c r="L50" s="7">
        <v>149</v>
      </c>
      <c r="M50" s="312">
        <f t="shared" si="7"/>
        <v>0.09933333333333333</v>
      </c>
      <c r="N50" s="7">
        <v>0</v>
      </c>
      <c r="O50" s="22">
        <f t="shared" si="9"/>
        <v>149</v>
      </c>
      <c r="P50" s="22">
        <v>0</v>
      </c>
    </row>
    <row r="51" spans="1:16" s="200" customFormat="1" ht="15.75" customHeight="1">
      <c r="A51" s="21"/>
      <c r="B51" s="16" t="s">
        <v>639</v>
      </c>
      <c r="C51" s="27" t="s">
        <v>640</v>
      </c>
      <c r="D51" s="7"/>
      <c r="E51" s="18">
        <v>23000</v>
      </c>
      <c r="F51" s="18">
        <v>500</v>
      </c>
      <c r="G51" s="18">
        <v>0</v>
      </c>
      <c r="H51" s="18">
        <v>15412</v>
      </c>
      <c r="I51" s="7">
        <v>0</v>
      </c>
      <c r="J51" s="7">
        <v>0</v>
      </c>
      <c r="K51" s="7">
        <v>2000</v>
      </c>
      <c r="L51" s="7">
        <v>0</v>
      </c>
      <c r="M51" s="312">
        <f t="shared" si="7"/>
        <v>0</v>
      </c>
      <c r="N51" s="7">
        <v>0</v>
      </c>
      <c r="O51" s="22">
        <f t="shared" si="9"/>
        <v>0</v>
      </c>
      <c r="P51" s="22">
        <v>0</v>
      </c>
    </row>
    <row r="52" spans="1:16" s="200" customFormat="1" ht="13.5" customHeight="1">
      <c r="A52" s="21"/>
      <c r="B52" s="16" t="s">
        <v>641</v>
      </c>
      <c r="C52" s="27" t="s">
        <v>642</v>
      </c>
      <c r="D52" s="7"/>
      <c r="E52" s="18">
        <v>14893</v>
      </c>
      <c r="F52" s="18">
        <v>0</v>
      </c>
      <c r="G52" s="18">
        <v>0</v>
      </c>
      <c r="H52" s="18">
        <v>13388</v>
      </c>
      <c r="I52" s="7">
        <v>0</v>
      </c>
      <c r="J52" s="7">
        <v>0</v>
      </c>
      <c r="K52" s="7">
        <v>10913</v>
      </c>
      <c r="L52" s="7">
        <v>0</v>
      </c>
      <c r="M52" s="312">
        <f t="shared" si="7"/>
        <v>0</v>
      </c>
      <c r="N52" s="7">
        <v>0</v>
      </c>
      <c r="O52" s="22">
        <f t="shared" si="9"/>
        <v>0</v>
      </c>
      <c r="P52" s="22">
        <v>0</v>
      </c>
    </row>
    <row r="53" spans="1:16" s="200" customFormat="1" ht="13.5" customHeight="1">
      <c r="A53" s="21"/>
      <c r="B53" s="16" t="s">
        <v>657</v>
      </c>
      <c r="C53" s="27" t="s">
        <v>658</v>
      </c>
      <c r="D53" s="7"/>
      <c r="E53" s="18">
        <v>8147</v>
      </c>
      <c r="F53" s="18">
        <v>0</v>
      </c>
      <c r="G53" s="18">
        <v>0</v>
      </c>
      <c r="H53" s="18">
        <v>7500</v>
      </c>
      <c r="I53" s="7">
        <v>0</v>
      </c>
      <c r="J53" s="7">
        <v>0</v>
      </c>
      <c r="K53" s="7">
        <v>9431</v>
      </c>
      <c r="L53" s="7">
        <v>2310</v>
      </c>
      <c r="M53" s="312">
        <f t="shared" si="7"/>
        <v>0.2449369101897996</v>
      </c>
      <c r="N53" s="7">
        <v>0</v>
      </c>
      <c r="O53" s="22">
        <f t="shared" si="9"/>
        <v>2310</v>
      </c>
      <c r="P53" s="22">
        <v>0</v>
      </c>
    </row>
    <row r="54" spans="1:16" s="200" customFormat="1" ht="12.75" customHeight="1">
      <c r="A54" s="21"/>
      <c r="B54" s="16" t="s">
        <v>659</v>
      </c>
      <c r="C54" s="10" t="s">
        <v>660</v>
      </c>
      <c r="D54" s="7"/>
      <c r="E54" s="18">
        <v>132020</v>
      </c>
      <c r="F54" s="18">
        <v>700000</v>
      </c>
      <c r="G54" s="18">
        <v>0</v>
      </c>
      <c r="H54" s="18">
        <v>2525825</v>
      </c>
      <c r="I54" s="7">
        <v>0</v>
      </c>
      <c r="J54" s="7">
        <v>0</v>
      </c>
      <c r="K54" s="7">
        <v>143000</v>
      </c>
      <c r="L54" s="7">
        <v>0</v>
      </c>
      <c r="M54" s="312">
        <f t="shared" si="7"/>
        <v>0</v>
      </c>
      <c r="N54" s="7">
        <v>0</v>
      </c>
      <c r="O54" s="22">
        <f t="shared" si="9"/>
        <v>0</v>
      </c>
      <c r="P54" s="22">
        <v>0</v>
      </c>
    </row>
    <row r="55" spans="1:16" s="200" customFormat="1" ht="14.25" customHeight="1">
      <c r="A55" s="21"/>
      <c r="B55" s="16" t="s">
        <v>661</v>
      </c>
      <c r="C55" s="10" t="s">
        <v>547</v>
      </c>
      <c r="D55" s="7">
        <v>0</v>
      </c>
      <c r="E55" s="18">
        <v>60000</v>
      </c>
      <c r="F55" s="18">
        <v>0</v>
      </c>
      <c r="G55" s="18">
        <v>3758</v>
      </c>
      <c r="H55" s="18"/>
      <c r="I55" s="7">
        <v>0</v>
      </c>
      <c r="J55" s="7">
        <v>0</v>
      </c>
      <c r="K55" s="7">
        <v>10000</v>
      </c>
      <c r="L55" s="7">
        <v>0</v>
      </c>
      <c r="M55" s="312">
        <f t="shared" si="7"/>
        <v>0</v>
      </c>
      <c r="N55" s="7">
        <v>0</v>
      </c>
      <c r="O55" s="22">
        <f t="shared" si="9"/>
        <v>0</v>
      </c>
      <c r="P55" s="22">
        <v>0</v>
      </c>
    </row>
    <row r="56" spans="1:16" s="200" customFormat="1" ht="15" customHeight="1">
      <c r="A56" s="21"/>
      <c r="B56" s="16" t="s">
        <v>158</v>
      </c>
      <c r="C56" s="10" t="s">
        <v>241</v>
      </c>
      <c r="D56" s="7"/>
      <c r="E56" s="18"/>
      <c r="F56" s="18"/>
      <c r="G56" s="18"/>
      <c r="H56" s="18"/>
      <c r="I56" s="7"/>
      <c r="J56" s="7"/>
      <c r="K56" s="7">
        <v>1988005</v>
      </c>
      <c r="L56" s="7">
        <v>0</v>
      </c>
      <c r="M56" s="312">
        <f t="shared" si="7"/>
        <v>0</v>
      </c>
      <c r="N56" s="7">
        <v>0</v>
      </c>
      <c r="O56" s="22">
        <f t="shared" si="9"/>
        <v>0</v>
      </c>
      <c r="P56" s="22">
        <v>0</v>
      </c>
    </row>
    <row r="57" spans="1:16" s="200" customFormat="1" ht="18" customHeight="1">
      <c r="A57" s="21"/>
      <c r="B57" s="16" t="s">
        <v>318</v>
      </c>
      <c r="C57" s="10" t="s">
        <v>241</v>
      </c>
      <c r="D57" s="7"/>
      <c r="E57" s="18"/>
      <c r="F57" s="18"/>
      <c r="G57" s="18"/>
      <c r="H57" s="18"/>
      <c r="I57" s="7"/>
      <c r="J57" s="7"/>
      <c r="K57" s="7">
        <v>702669</v>
      </c>
      <c r="L57" s="7">
        <v>5083</v>
      </c>
      <c r="M57" s="312">
        <f t="shared" si="7"/>
        <v>0.007233846946428546</v>
      </c>
      <c r="N57" s="7">
        <v>0</v>
      </c>
      <c r="O57" s="22">
        <f t="shared" si="9"/>
        <v>5083</v>
      </c>
      <c r="P57" s="22">
        <v>0</v>
      </c>
    </row>
    <row r="58" spans="1:16" s="200" customFormat="1" ht="21.75" customHeight="1">
      <c r="A58" s="190" t="s">
        <v>662</v>
      </c>
      <c r="B58" s="194"/>
      <c r="C58" s="195" t="s">
        <v>663</v>
      </c>
      <c r="D58" s="191">
        <f aca="true" t="shared" si="10" ref="D58:P58">D59</f>
        <v>15000</v>
      </c>
      <c r="E58" s="191">
        <f t="shared" si="10"/>
        <v>37000</v>
      </c>
      <c r="F58" s="191">
        <f t="shared" si="10"/>
        <v>3693</v>
      </c>
      <c r="G58" s="191">
        <f t="shared" si="10"/>
        <v>3693</v>
      </c>
      <c r="H58" s="191">
        <f>H59</f>
        <v>87539</v>
      </c>
      <c r="I58" s="191">
        <f>I59</f>
        <v>0</v>
      </c>
      <c r="J58" s="191">
        <f>J59</f>
        <v>0</v>
      </c>
      <c r="K58" s="191">
        <f>K59</f>
        <v>179676</v>
      </c>
      <c r="L58" s="191">
        <f>L59</f>
        <v>28473</v>
      </c>
      <c r="M58" s="405">
        <f t="shared" si="7"/>
        <v>0.15846857677152207</v>
      </c>
      <c r="N58" s="191">
        <f t="shared" si="10"/>
        <v>8795</v>
      </c>
      <c r="O58" s="191">
        <f t="shared" si="10"/>
        <v>20478</v>
      </c>
      <c r="P58" s="193">
        <f t="shared" si="10"/>
        <v>0</v>
      </c>
    </row>
    <row r="59" spans="1:16" s="200" customFormat="1" ht="24.75" customHeight="1">
      <c r="A59" s="213" t="s">
        <v>664</v>
      </c>
      <c r="B59" s="350"/>
      <c r="C59" s="214" t="s">
        <v>665</v>
      </c>
      <c r="D59" s="186">
        <f>D63</f>
        <v>15000</v>
      </c>
      <c r="E59" s="186">
        <f>E63+E61</f>
        <v>37000</v>
      </c>
      <c r="F59" s="186">
        <f>F63+F61</f>
        <v>3693</v>
      </c>
      <c r="G59" s="186">
        <f>G63+G61</f>
        <v>3693</v>
      </c>
      <c r="H59" s="186">
        <f>H61+H63+H64+H66+H67+H60+H65</f>
        <v>87539</v>
      </c>
      <c r="I59" s="186">
        <f>I61+I63+I64+I66+I67+I60+I65</f>
        <v>0</v>
      </c>
      <c r="J59" s="186">
        <f>J61+J63+J64+J66+J67+J60+J65</f>
        <v>0</v>
      </c>
      <c r="K59" s="186">
        <f>SUM(K60:K67)</f>
        <v>179676</v>
      </c>
      <c r="L59" s="186">
        <f>SUM(L60:L67)</f>
        <v>28473</v>
      </c>
      <c r="M59" s="185">
        <f t="shared" si="7"/>
        <v>0.15846857677152207</v>
      </c>
      <c r="N59" s="186">
        <f>N60+N61+N63+N64+N66+N67+N65</f>
        <v>8795</v>
      </c>
      <c r="O59" s="186">
        <f>O60+O61+O62+O63+O64+O65+O66+O67</f>
        <v>20478</v>
      </c>
      <c r="P59" s="186">
        <f>P61+P63+P64+P66+P67+P65</f>
        <v>0</v>
      </c>
    </row>
    <row r="60" spans="1:16" s="200" customFormat="1" ht="13.5" customHeight="1">
      <c r="A60" s="15"/>
      <c r="B60" s="16" t="s">
        <v>470</v>
      </c>
      <c r="C60" s="27" t="s">
        <v>306</v>
      </c>
      <c r="D60" s="18"/>
      <c r="E60" s="18"/>
      <c r="F60" s="18"/>
      <c r="G60" s="18"/>
      <c r="H60" s="18">
        <v>3005</v>
      </c>
      <c r="I60" s="18">
        <v>0</v>
      </c>
      <c r="J60" s="18">
        <v>0</v>
      </c>
      <c r="K60" s="18">
        <v>800</v>
      </c>
      <c r="L60" s="18">
        <v>0</v>
      </c>
      <c r="M60" s="312">
        <f t="shared" si="7"/>
        <v>0</v>
      </c>
      <c r="N60" s="18">
        <f>L60</f>
        <v>0</v>
      </c>
      <c r="O60" s="18">
        <f>K60-N60</f>
        <v>800</v>
      </c>
      <c r="P60" s="6">
        <v>0</v>
      </c>
    </row>
    <row r="61" spans="1:16" s="200" customFormat="1" ht="14.25" customHeight="1">
      <c r="A61" s="15"/>
      <c r="B61" s="16" t="s">
        <v>631</v>
      </c>
      <c r="C61" s="27" t="s">
        <v>632</v>
      </c>
      <c r="D61" s="18"/>
      <c r="E61" s="18">
        <v>20000</v>
      </c>
      <c r="F61" s="18">
        <v>3693</v>
      </c>
      <c r="G61" s="18">
        <v>0</v>
      </c>
      <c r="H61" s="18">
        <v>10601</v>
      </c>
      <c r="I61" s="18">
        <v>0</v>
      </c>
      <c r="J61" s="18">
        <v>0</v>
      </c>
      <c r="K61" s="7">
        <v>3930</v>
      </c>
      <c r="L61" s="7">
        <v>1060</v>
      </c>
      <c r="M61" s="312">
        <f t="shared" si="7"/>
        <v>0.2697201017811705</v>
      </c>
      <c r="N61" s="18">
        <f>L61</f>
        <v>1060</v>
      </c>
      <c r="O61" s="18"/>
      <c r="P61" s="19">
        <v>0</v>
      </c>
    </row>
    <row r="62" spans="1:16" s="200" customFormat="1" ht="13.5" customHeight="1">
      <c r="A62" s="15"/>
      <c r="B62" s="16" t="s">
        <v>633</v>
      </c>
      <c r="C62" s="27" t="s">
        <v>21</v>
      </c>
      <c r="D62" s="18"/>
      <c r="E62" s="18"/>
      <c r="F62" s="18"/>
      <c r="G62" s="18"/>
      <c r="H62" s="18"/>
      <c r="I62" s="18"/>
      <c r="J62" s="18"/>
      <c r="K62" s="7">
        <v>46376</v>
      </c>
      <c r="L62" s="7">
        <v>6000</v>
      </c>
      <c r="M62" s="312">
        <f t="shared" si="7"/>
        <v>0.12937726410212178</v>
      </c>
      <c r="N62" s="18">
        <v>0</v>
      </c>
      <c r="O62" s="18">
        <f>L62</f>
        <v>6000</v>
      </c>
      <c r="P62" s="19">
        <v>0</v>
      </c>
    </row>
    <row r="63" spans="1:16" s="200" customFormat="1" ht="13.5" customHeight="1">
      <c r="A63" s="26"/>
      <c r="B63" s="16" t="s">
        <v>635</v>
      </c>
      <c r="C63" s="27" t="s">
        <v>636</v>
      </c>
      <c r="D63" s="7">
        <v>15000</v>
      </c>
      <c r="E63" s="18">
        <v>17000</v>
      </c>
      <c r="F63" s="18">
        <v>0</v>
      </c>
      <c r="G63" s="18">
        <v>3693</v>
      </c>
      <c r="H63" s="18">
        <v>65521</v>
      </c>
      <c r="I63" s="18">
        <v>0</v>
      </c>
      <c r="J63" s="18">
        <v>0</v>
      </c>
      <c r="K63" s="7">
        <v>51970</v>
      </c>
      <c r="L63" s="7">
        <v>4674</v>
      </c>
      <c r="M63" s="312">
        <f t="shared" si="7"/>
        <v>0.08993650182797767</v>
      </c>
      <c r="N63" s="18">
        <v>3563</v>
      </c>
      <c r="O63" s="18">
        <f>L63-N63</f>
        <v>1111</v>
      </c>
      <c r="P63" s="22">
        <v>0</v>
      </c>
    </row>
    <row r="64" spans="1:16" s="200" customFormat="1" ht="14.25" customHeight="1">
      <c r="A64" s="26"/>
      <c r="B64" s="16" t="s">
        <v>639</v>
      </c>
      <c r="C64" s="27" t="s">
        <v>640</v>
      </c>
      <c r="D64" s="7"/>
      <c r="E64" s="18"/>
      <c r="F64" s="18"/>
      <c r="G64" s="18"/>
      <c r="H64" s="18">
        <v>1357</v>
      </c>
      <c r="I64" s="18">
        <v>0</v>
      </c>
      <c r="J64" s="18">
        <v>0</v>
      </c>
      <c r="K64" s="7">
        <v>60000</v>
      </c>
      <c r="L64" s="7">
        <v>12453</v>
      </c>
      <c r="M64" s="312">
        <f t="shared" si="7"/>
        <v>0.20755</v>
      </c>
      <c r="N64" s="18">
        <v>0</v>
      </c>
      <c r="O64" s="18">
        <f>L64-N64</f>
        <v>12453</v>
      </c>
      <c r="P64" s="22">
        <v>0</v>
      </c>
    </row>
    <row r="65" spans="1:16" s="200" customFormat="1" ht="13.5" customHeight="1">
      <c r="A65" s="26"/>
      <c r="B65" s="16" t="s">
        <v>657</v>
      </c>
      <c r="C65" s="27" t="s">
        <v>658</v>
      </c>
      <c r="D65" s="7"/>
      <c r="E65" s="18"/>
      <c r="F65" s="18"/>
      <c r="G65" s="18"/>
      <c r="H65" s="18">
        <v>55</v>
      </c>
      <c r="I65" s="18">
        <v>0</v>
      </c>
      <c r="J65" s="18">
        <v>0</v>
      </c>
      <c r="K65" s="7">
        <v>10100</v>
      </c>
      <c r="L65" s="7">
        <v>2857</v>
      </c>
      <c r="M65" s="312">
        <f t="shared" si="7"/>
        <v>0.28287128712871284</v>
      </c>
      <c r="N65" s="18">
        <v>2743</v>
      </c>
      <c r="O65" s="18">
        <f>L65-N65</f>
        <v>114</v>
      </c>
      <c r="P65" s="22">
        <v>0</v>
      </c>
    </row>
    <row r="66" spans="1:16" s="200" customFormat="1" ht="12" customHeight="1">
      <c r="A66" s="26"/>
      <c r="B66" s="16" t="s">
        <v>696</v>
      </c>
      <c r="C66" s="27" t="s">
        <v>5</v>
      </c>
      <c r="D66" s="7"/>
      <c r="E66" s="18"/>
      <c r="F66" s="18"/>
      <c r="G66" s="18"/>
      <c r="H66" s="18">
        <v>213</v>
      </c>
      <c r="I66" s="18">
        <v>0</v>
      </c>
      <c r="J66" s="18">
        <v>0</v>
      </c>
      <c r="K66" s="7">
        <v>5000</v>
      </c>
      <c r="L66" s="7">
        <v>1429</v>
      </c>
      <c r="M66" s="312">
        <f t="shared" si="7"/>
        <v>0.2858</v>
      </c>
      <c r="N66" s="18">
        <f>L66</f>
        <v>1429</v>
      </c>
      <c r="O66" s="18">
        <f>L66-N66</f>
        <v>0</v>
      </c>
      <c r="P66" s="22">
        <v>0</v>
      </c>
    </row>
    <row r="67" spans="1:16" s="200" customFormat="1" ht="14.25" customHeight="1">
      <c r="A67" s="26"/>
      <c r="B67" s="16" t="s">
        <v>25</v>
      </c>
      <c r="C67" s="27" t="s">
        <v>314</v>
      </c>
      <c r="D67" s="7"/>
      <c r="E67" s="18"/>
      <c r="F67" s="18"/>
      <c r="G67" s="18"/>
      <c r="H67" s="18">
        <v>6787</v>
      </c>
      <c r="I67" s="18">
        <v>0</v>
      </c>
      <c r="J67" s="18">
        <v>0</v>
      </c>
      <c r="K67" s="7">
        <v>1500</v>
      </c>
      <c r="L67" s="7">
        <v>0</v>
      </c>
      <c r="M67" s="312">
        <f t="shared" si="7"/>
        <v>0</v>
      </c>
      <c r="N67" s="18">
        <v>0</v>
      </c>
      <c r="O67" s="18">
        <f>L67-N67</f>
        <v>0</v>
      </c>
      <c r="P67" s="22">
        <v>0</v>
      </c>
    </row>
    <row r="68" spans="1:16" s="200" customFormat="1" ht="15" customHeight="1">
      <c r="A68" s="190" t="s">
        <v>667</v>
      </c>
      <c r="B68" s="194"/>
      <c r="C68" s="196" t="s">
        <v>668</v>
      </c>
      <c r="D68" s="191" t="e">
        <f aca="true" t="shared" si="11" ref="D68:P68">D69+D71+D73</f>
        <v>#REF!</v>
      </c>
      <c r="E68" s="191" t="e">
        <f t="shared" si="11"/>
        <v>#REF!</v>
      </c>
      <c r="F68" s="191" t="e">
        <f t="shared" si="11"/>
        <v>#REF!</v>
      </c>
      <c r="G68" s="191" t="e">
        <f t="shared" si="11"/>
        <v>#REF!</v>
      </c>
      <c r="H68" s="191" t="e">
        <f>H69+H71+H73</f>
        <v>#REF!</v>
      </c>
      <c r="I68" s="191" t="e">
        <f>I69+I71+I73</f>
        <v>#REF!</v>
      </c>
      <c r="J68" s="191" t="e">
        <f>J69+J71+J73</f>
        <v>#REF!</v>
      </c>
      <c r="K68" s="191">
        <f>K69+K71+K73</f>
        <v>243547</v>
      </c>
      <c r="L68" s="191">
        <f>L69+L71+L73</f>
        <v>48923</v>
      </c>
      <c r="M68" s="405">
        <f t="shared" si="7"/>
        <v>0.20087703810763424</v>
      </c>
      <c r="N68" s="191">
        <f t="shared" si="11"/>
        <v>48923</v>
      </c>
      <c r="O68" s="193">
        <f t="shared" si="11"/>
        <v>0</v>
      </c>
      <c r="P68" s="193">
        <f t="shared" si="11"/>
        <v>0</v>
      </c>
    </row>
    <row r="69" spans="1:16" s="200" customFormat="1" ht="23.25" customHeight="1">
      <c r="A69" s="213" t="s">
        <v>669</v>
      </c>
      <c r="B69" s="226"/>
      <c r="C69" s="214" t="s">
        <v>670</v>
      </c>
      <c r="D69" s="186">
        <f aca="true" t="shared" si="12" ref="D69:P69">D70</f>
        <v>79900</v>
      </c>
      <c r="E69" s="186">
        <f t="shared" si="12"/>
        <v>52100</v>
      </c>
      <c r="F69" s="186">
        <f t="shared" si="12"/>
        <v>0</v>
      </c>
      <c r="G69" s="186">
        <f t="shared" si="12"/>
        <v>0</v>
      </c>
      <c r="H69" s="186">
        <f t="shared" si="12"/>
        <v>52000</v>
      </c>
      <c r="I69" s="186">
        <f t="shared" si="12"/>
        <v>0</v>
      </c>
      <c r="J69" s="186">
        <f t="shared" si="12"/>
        <v>0</v>
      </c>
      <c r="K69" s="186">
        <f>K70</f>
        <v>40000</v>
      </c>
      <c r="L69" s="186">
        <f>L70</f>
        <v>0</v>
      </c>
      <c r="M69" s="185">
        <f t="shared" si="7"/>
        <v>0</v>
      </c>
      <c r="N69" s="186">
        <f t="shared" si="12"/>
        <v>0</v>
      </c>
      <c r="O69" s="182">
        <f t="shared" si="12"/>
        <v>0</v>
      </c>
      <c r="P69" s="182">
        <f t="shared" si="12"/>
        <v>0</v>
      </c>
    </row>
    <row r="70" spans="1:16" s="200" customFormat="1" ht="18" customHeight="1">
      <c r="A70" s="26"/>
      <c r="B70" s="16" t="s">
        <v>635</v>
      </c>
      <c r="C70" s="27" t="s">
        <v>636</v>
      </c>
      <c r="D70" s="7">
        <v>79900</v>
      </c>
      <c r="E70" s="18">
        <v>52100</v>
      </c>
      <c r="F70" s="18">
        <v>0</v>
      </c>
      <c r="G70" s="18">
        <v>0</v>
      </c>
      <c r="H70" s="18">
        <v>52000</v>
      </c>
      <c r="I70" s="18">
        <v>0</v>
      </c>
      <c r="J70" s="18">
        <v>0</v>
      </c>
      <c r="K70" s="7">
        <v>40000</v>
      </c>
      <c r="L70" s="7">
        <v>0</v>
      </c>
      <c r="M70" s="312">
        <f t="shared" si="7"/>
        <v>0</v>
      </c>
      <c r="N70" s="18">
        <f>L70</f>
        <v>0</v>
      </c>
      <c r="O70" s="22">
        <v>0</v>
      </c>
      <c r="P70" s="22">
        <v>0</v>
      </c>
    </row>
    <row r="71" spans="1:16" s="200" customFormat="1" ht="17.25" customHeight="1">
      <c r="A71" s="213" t="s">
        <v>671</v>
      </c>
      <c r="B71" s="226"/>
      <c r="C71" s="214" t="s">
        <v>572</v>
      </c>
      <c r="D71" s="186">
        <f aca="true" t="shared" si="13" ref="D71:P71">D72</f>
        <v>20000</v>
      </c>
      <c r="E71" s="186">
        <f t="shared" si="13"/>
        <v>8000</v>
      </c>
      <c r="F71" s="186">
        <f t="shared" si="13"/>
        <v>0</v>
      </c>
      <c r="G71" s="186">
        <f t="shared" si="13"/>
        <v>0</v>
      </c>
      <c r="H71" s="186">
        <f t="shared" si="13"/>
        <v>4000</v>
      </c>
      <c r="I71" s="186">
        <f t="shared" si="13"/>
        <v>0</v>
      </c>
      <c r="J71" s="186">
        <f t="shared" si="13"/>
        <v>0</v>
      </c>
      <c r="K71" s="186">
        <f>K72</f>
        <v>22000</v>
      </c>
      <c r="L71" s="186">
        <f>L72</f>
        <v>429</v>
      </c>
      <c r="M71" s="185">
        <f t="shared" si="7"/>
        <v>0.0195</v>
      </c>
      <c r="N71" s="186">
        <f t="shared" si="13"/>
        <v>429</v>
      </c>
      <c r="O71" s="182">
        <f t="shared" si="13"/>
        <v>0</v>
      </c>
      <c r="P71" s="182">
        <f t="shared" si="13"/>
        <v>0</v>
      </c>
    </row>
    <row r="72" spans="1:16" s="200" customFormat="1" ht="21" customHeight="1">
      <c r="A72" s="26"/>
      <c r="B72" s="16" t="s">
        <v>635</v>
      </c>
      <c r="C72" s="27" t="s">
        <v>636</v>
      </c>
      <c r="D72" s="7">
        <v>20000</v>
      </c>
      <c r="E72" s="18">
        <v>8000</v>
      </c>
      <c r="F72" s="18">
        <v>0</v>
      </c>
      <c r="G72" s="18">
        <v>0</v>
      </c>
      <c r="H72" s="18">
        <v>4000</v>
      </c>
      <c r="I72" s="18">
        <v>0</v>
      </c>
      <c r="J72" s="18">
        <v>0</v>
      </c>
      <c r="K72" s="7">
        <v>22000</v>
      </c>
      <c r="L72" s="7">
        <v>429</v>
      </c>
      <c r="M72" s="312">
        <f t="shared" si="7"/>
        <v>0.0195</v>
      </c>
      <c r="N72" s="18">
        <f>L72</f>
        <v>429</v>
      </c>
      <c r="O72" s="22">
        <v>0</v>
      </c>
      <c r="P72" s="22">
        <v>0</v>
      </c>
    </row>
    <row r="73" spans="1:16" s="200" customFormat="1" ht="20.25" customHeight="1">
      <c r="A73" s="213" t="s">
        <v>673</v>
      </c>
      <c r="B73" s="226"/>
      <c r="C73" s="214" t="s">
        <v>674</v>
      </c>
      <c r="D73" s="186" t="e">
        <f>D74+D76+D77+#REF!</f>
        <v>#REF!</v>
      </c>
      <c r="E73" s="186" t="e">
        <f>E74+E76+E77+E78+#REF!+E79+E81+E82+E84</f>
        <v>#REF!</v>
      </c>
      <c r="F73" s="186" t="e">
        <f>F74+F76+F77+F78+#REF!+F79+F81+F82+F84</f>
        <v>#REF!</v>
      </c>
      <c r="G73" s="186" t="e">
        <f>G74+G76+G77+G78+#REF!+G79+G81+G82+G84</f>
        <v>#REF!</v>
      </c>
      <c r="H73" s="186" t="e">
        <f>H74+H76+H77+H78+#REF!+H79+H81+H82+H84+H75</f>
        <v>#REF!</v>
      </c>
      <c r="I73" s="186" t="e">
        <f>I74+I76+I77+I78+#REF!+I79+I81+I82+I84+I75</f>
        <v>#REF!</v>
      </c>
      <c r="J73" s="186" t="e">
        <f>J74+J76+J77+J78+#REF!+J79+J81+J82+J84+J75</f>
        <v>#REF!</v>
      </c>
      <c r="K73" s="186">
        <f aca="true" t="shared" si="14" ref="K73:P73">SUM(K74:K84)</f>
        <v>181547</v>
      </c>
      <c r="L73" s="186">
        <f t="shared" si="14"/>
        <v>48494</v>
      </c>
      <c r="M73" s="185">
        <f t="shared" si="7"/>
        <v>0.2671154026230122</v>
      </c>
      <c r="N73" s="186">
        <f t="shared" si="14"/>
        <v>48494</v>
      </c>
      <c r="O73" s="186">
        <f t="shared" si="14"/>
        <v>0</v>
      </c>
      <c r="P73" s="186">
        <f t="shared" si="14"/>
        <v>0</v>
      </c>
    </row>
    <row r="74" spans="1:16" s="200" customFormat="1" ht="16.5" customHeight="1">
      <c r="A74" s="26"/>
      <c r="B74" s="16" t="s">
        <v>619</v>
      </c>
      <c r="C74" s="27" t="s">
        <v>548</v>
      </c>
      <c r="D74" s="7">
        <v>49324</v>
      </c>
      <c r="E74" s="18">
        <v>53163</v>
      </c>
      <c r="F74" s="18">
        <v>0</v>
      </c>
      <c r="G74" s="18">
        <v>0</v>
      </c>
      <c r="H74" s="18">
        <v>34560</v>
      </c>
      <c r="I74" s="18">
        <v>0</v>
      </c>
      <c r="J74" s="18">
        <v>0</v>
      </c>
      <c r="K74" s="7">
        <v>49200</v>
      </c>
      <c r="L74" s="7">
        <v>11820</v>
      </c>
      <c r="M74" s="312">
        <f t="shared" si="7"/>
        <v>0.24024390243902438</v>
      </c>
      <c r="N74" s="18">
        <f>L74</f>
        <v>11820</v>
      </c>
      <c r="O74" s="22">
        <v>0</v>
      </c>
      <c r="P74" s="22">
        <v>0</v>
      </c>
    </row>
    <row r="75" spans="1:16" s="200" customFormat="1" ht="16.5" customHeight="1">
      <c r="A75" s="26"/>
      <c r="B75" s="16" t="s">
        <v>621</v>
      </c>
      <c r="C75" s="10" t="s">
        <v>549</v>
      </c>
      <c r="D75" s="7"/>
      <c r="E75" s="18"/>
      <c r="F75" s="18"/>
      <c r="G75" s="18"/>
      <c r="H75" s="18">
        <v>22800</v>
      </c>
      <c r="I75" s="18">
        <v>0</v>
      </c>
      <c r="J75" s="18">
        <v>0</v>
      </c>
      <c r="K75" s="7">
        <v>78200</v>
      </c>
      <c r="L75" s="7">
        <v>14936</v>
      </c>
      <c r="M75" s="312">
        <f t="shared" si="7"/>
        <v>0.19099744245524297</v>
      </c>
      <c r="N75" s="18">
        <f aca="true" t="shared" si="15" ref="N75:N84">L75</f>
        <v>14936</v>
      </c>
      <c r="O75" s="22">
        <v>0</v>
      </c>
      <c r="P75" s="22">
        <v>0</v>
      </c>
    </row>
    <row r="76" spans="1:16" s="200" customFormat="1" ht="16.5" customHeight="1">
      <c r="A76" s="26"/>
      <c r="B76" s="16" t="s">
        <v>623</v>
      </c>
      <c r="C76" s="27" t="s">
        <v>624</v>
      </c>
      <c r="D76" s="7">
        <v>2600</v>
      </c>
      <c r="E76" s="18">
        <v>4103</v>
      </c>
      <c r="F76" s="18">
        <v>0</v>
      </c>
      <c r="G76" s="18">
        <v>0</v>
      </c>
      <c r="H76" s="18">
        <v>4508</v>
      </c>
      <c r="I76" s="18">
        <v>0</v>
      </c>
      <c r="J76" s="18">
        <v>0</v>
      </c>
      <c r="K76" s="7">
        <v>8864</v>
      </c>
      <c r="L76" s="7">
        <v>8864</v>
      </c>
      <c r="M76" s="312">
        <f t="shared" si="7"/>
        <v>1</v>
      </c>
      <c r="N76" s="18">
        <f t="shared" si="15"/>
        <v>8864</v>
      </c>
      <c r="O76" s="22">
        <v>0</v>
      </c>
      <c r="P76" s="22">
        <v>0</v>
      </c>
    </row>
    <row r="77" spans="1:16" s="200" customFormat="1" ht="15" customHeight="1">
      <c r="A77" s="26"/>
      <c r="B77" s="23" t="s">
        <v>675</v>
      </c>
      <c r="C77" s="27" t="s">
        <v>653</v>
      </c>
      <c r="D77" s="7">
        <v>10556</v>
      </c>
      <c r="E77" s="18">
        <v>10240</v>
      </c>
      <c r="F77" s="18">
        <v>0</v>
      </c>
      <c r="G77" s="18">
        <v>0</v>
      </c>
      <c r="H77" s="18">
        <v>11254</v>
      </c>
      <c r="I77" s="18">
        <v>0</v>
      </c>
      <c r="J77" s="18">
        <v>0</v>
      </c>
      <c r="K77" s="7">
        <v>24786</v>
      </c>
      <c r="L77" s="7">
        <v>6455</v>
      </c>
      <c r="M77" s="312">
        <f t="shared" si="7"/>
        <v>0.26042927459049464</v>
      </c>
      <c r="N77" s="18">
        <f t="shared" si="15"/>
        <v>6455</v>
      </c>
      <c r="O77" s="22">
        <v>0</v>
      </c>
      <c r="P77" s="22">
        <v>0</v>
      </c>
    </row>
    <row r="78" spans="1:16" s="200" customFormat="1" ht="14.25" customHeight="1">
      <c r="A78" s="26"/>
      <c r="B78" s="23" t="s">
        <v>627</v>
      </c>
      <c r="C78" s="27" t="s">
        <v>628</v>
      </c>
      <c r="D78" s="7"/>
      <c r="E78" s="18">
        <v>1403</v>
      </c>
      <c r="F78" s="18">
        <v>0</v>
      </c>
      <c r="G78" s="18">
        <v>0</v>
      </c>
      <c r="H78" s="18">
        <v>1516</v>
      </c>
      <c r="I78" s="18">
        <v>0</v>
      </c>
      <c r="J78" s="18">
        <v>0</v>
      </c>
      <c r="K78" s="7">
        <v>3338</v>
      </c>
      <c r="L78" s="7">
        <v>869</v>
      </c>
      <c r="M78" s="312">
        <f t="shared" si="7"/>
        <v>0.2603355302576393</v>
      </c>
      <c r="N78" s="18">
        <f t="shared" si="15"/>
        <v>869</v>
      </c>
      <c r="O78" s="22">
        <v>0</v>
      </c>
      <c r="P78" s="22">
        <v>0</v>
      </c>
    </row>
    <row r="79" spans="1:16" s="200" customFormat="1" ht="15.75" customHeight="1">
      <c r="A79" s="26"/>
      <c r="B79" s="16" t="s">
        <v>629</v>
      </c>
      <c r="C79" s="27" t="s">
        <v>656</v>
      </c>
      <c r="D79" s="7"/>
      <c r="E79" s="18">
        <v>2270</v>
      </c>
      <c r="F79" s="18">
        <v>0</v>
      </c>
      <c r="G79" s="18">
        <v>0</v>
      </c>
      <c r="H79" s="18">
        <v>300</v>
      </c>
      <c r="I79" s="18">
        <v>0</v>
      </c>
      <c r="J79" s="18">
        <v>0</v>
      </c>
      <c r="K79" s="7">
        <v>3000</v>
      </c>
      <c r="L79" s="7">
        <v>1082</v>
      </c>
      <c r="M79" s="312">
        <f t="shared" si="7"/>
        <v>0.3606666666666667</v>
      </c>
      <c r="N79" s="18">
        <f t="shared" si="15"/>
        <v>1082</v>
      </c>
      <c r="O79" s="22">
        <v>0</v>
      </c>
      <c r="P79" s="22">
        <v>0</v>
      </c>
    </row>
    <row r="80" spans="1:16" s="200" customFormat="1" ht="13.5" customHeight="1">
      <c r="A80" s="26"/>
      <c r="B80" s="16" t="s">
        <v>631</v>
      </c>
      <c r="C80" s="27" t="s">
        <v>20</v>
      </c>
      <c r="D80" s="7"/>
      <c r="E80" s="18"/>
      <c r="F80" s="18"/>
      <c r="G80" s="18"/>
      <c r="H80" s="18"/>
      <c r="I80" s="18"/>
      <c r="J80" s="18"/>
      <c r="K80" s="7">
        <v>4700</v>
      </c>
      <c r="L80" s="7">
        <v>298</v>
      </c>
      <c r="M80" s="312">
        <f t="shared" si="7"/>
        <v>0.06340425531914894</v>
      </c>
      <c r="N80" s="18">
        <f t="shared" si="15"/>
        <v>298</v>
      </c>
      <c r="O80" s="22"/>
      <c r="P80" s="22"/>
    </row>
    <row r="81" spans="1:16" s="200" customFormat="1" ht="16.5" customHeight="1">
      <c r="A81" s="26"/>
      <c r="B81" s="16" t="s">
        <v>635</v>
      </c>
      <c r="C81" s="27" t="s">
        <v>636</v>
      </c>
      <c r="D81" s="7"/>
      <c r="E81" s="18">
        <v>4000</v>
      </c>
      <c r="F81" s="18">
        <v>0</v>
      </c>
      <c r="G81" s="18">
        <v>0</v>
      </c>
      <c r="H81" s="18">
        <v>3097</v>
      </c>
      <c r="I81" s="18">
        <v>0</v>
      </c>
      <c r="J81" s="18">
        <v>0</v>
      </c>
      <c r="K81" s="7">
        <v>4125</v>
      </c>
      <c r="L81" s="7">
        <v>2236</v>
      </c>
      <c r="M81" s="312">
        <f t="shared" si="7"/>
        <v>0.542060606060606</v>
      </c>
      <c r="N81" s="18">
        <f t="shared" si="15"/>
        <v>2236</v>
      </c>
      <c r="O81" s="22">
        <v>0</v>
      </c>
      <c r="P81" s="22">
        <v>0</v>
      </c>
    </row>
    <row r="82" spans="1:16" s="200" customFormat="1" ht="13.5" customHeight="1">
      <c r="A82" s="26"/>
      <c r="B82" s="16" t="s">
        <v>637</v>
      </c>
      <c r="C82" s="27" t="s">
        <v>638</v>
      </c>
      <c r="D82" s="7"/>
      <c r="E82" s="18">
        <v>2500</v>
      </c>
      <c r="F82" s="18">
        <v>0</v>
      </c>
      <c r="G82" s="18">
        <v>0</v>
      </c>
      <c r="H82" s="18">
        <v>2478</v>
      </c>
      <c r="I82" s="18">
        <v>0</v>
      </c>
      <c r="J82" s="18">
        <v>0</v>
      </c>
      <c r="K82" s="7">
        <v>500</v>
      </c>
      <c r="L82" s="7">
        <v>0</v>
      </c>
      <c r="M82" s="312">
        <f t="shared" si="7"/>
        <v>0</v>
      </c>
      <c r="N82" s="18">
        <f t="shared" si="15"/>
        <v>0</v>
      </c>
      <c r="O82" s="22">
        <v>0</v>
      </c>
      <c r="P82" s="22">
        <v>0</v>
      </c>
    </row>
    <row r="83" spans="1:16" s="200" customFormat="1" ht="13.5" customHeight="1">
      <c r="A83" s="26"/>
      <c r="B83" s="16" t="s">
        <v>639</v>
      </c>
      <c r="C83" s="27" t="s">
        <v>640</v>
      </c>
      <c r="D83" s="7"/>
      <c r="E83" s="18"/>
      <c r="F83" s="18"/>
      <c r="G83" s="18"/>
      <c r="H83" s="18"/>
      <c r="I83" s="18"/>
      <c r="J83" s="18"/>
      <c r="K83" s="7">
        <v>2200</v>
      </c>
      <c r="L83" s="7">
        <v>0</v>
      </c>
      <c r="M83" s="312">
        <f t="shared" si="7"/>
        <v>0</v>
      </c>
      <c r="N83" s="18">
        <f t="shared" si="15"/>
        <v>0</v>
      </c>
      <c r="O83" s="22">
        <v>0</v>
      </c>
      <c r="P83" s="22">
        <v>0</v>
      </c>
    </row>
    <row r="84" spans="1:16" s="200" customFormat="1" ht="15" customHeight="1">
      <c r="A84" s="26"/>
      <c r="B84" s="16" t="s">
        <v>641</v>
      </c>
      <c r="C84" s="27" t="s">
        <v>642</v>
      </c>
      <c r="D84" s="7"/>
      <c r="E84" s="18">
        <v>1241</v>
      </c>
      <c r="F84" s="18">
        <v>0</v>
      </c>
      <c r="G84" s="18">
        <v>0</v>
      </c>
      <c r="H84" s="18">
        <v>1353</v>
      </c>
      <c r="I84" s="18">
        <v>0</v>
      </c>
      <c r="J84" s="18">
        <v>0</v>
      </c>
      <c r="K84" s="7">
        <v>2634</v>
      </c>
      <c r="L84" s="7">
        <v>1934</v>
      </c>
      <c r="M84" s="312">
        <f t="shared" si="7"/>
        <v>0.7342444950645406</v>
      </c>
      <c r="N84" s="18">
        <f t="shared" si="15"/>
        <v>1934</v>
      </c>
      <c r="O84" s="22">
        <v>0</v>
      </c>
      <c r="P84" s="22">
        <v>0</v>
      </c>
    </row>
    <row r="85" spans="1:16" s="200" customFormat="1" ht="18.75" customHeight="1">
      <c r="A85" s="190" t="s">
        <v>676</v>
      </c>
      <c r="B85" s="194"/>
      <c r="C85" s="196" t="s">
        <v>677</v>
      </c>
      <c r="D85" s="191" t="e">
        <f>D86+D98+D105+D124+D137</f>
        <v>#REF!</v>
      </c>
      <c r="E85" s="191" t="e">
        <f>E86+E98+E105+E124+E137</f>
        <v>#REF!</v>
      </c>
      <c r="F85" s="191" t="e">
        <f>F86+F98+F105+F124+F137</f>
        <v>#REF!</v>
      </c>
      <c r="G85" s="191" t="e">
        <f>G86+G98+G105+G124+G137</f>
        <v>#REF!</v>
      </c>
      <c r="H85" s="191" t="e">
        <f>H86+H98+H105+H124+H137+#REF!</f>
        <v>#REF!</v>
      </c>
      <c r="I85" s="191" t="e">
        <f>I86+I98+I105+I124+I137+#REF!</f>
        <v>#REF!</v>
      </c>
      <c r="J85" s="191" t="e">
        <f>J86+J98+J105+J124+J137+#REF!</f>
        <v>#REF!</v>
      </c>
      <c r="K85" s="191">
        <f>K86+K96+K98+K105+K124+K132+K137</f>
        <v>2485311</v>
      </c>
      <c r="L85" s="191">
        <f>L86+L96+L98+L105+L124+L132+L137</f>
        <v>640235</v>
      </c>
      <c r="M85" s="405">
        <f t="shared" si="7"/>
        <v>0.25760759920991777</v>
      </c>
      <c r="N85" s="191">
        <f>N86+N96+N98+N105+N124+N132+N137</f>
        <v>44509</v>
      </c>
      <c r="O85" s="191">
        <f>O86+O96+O98+O105+O124+O132+O137</f>
        <v>593224</v>
      </c>
      <c r="P85" s="191">
        <f>P86+P96+P98+P105+P124+P132+P137</f>
        <v>2502</v>
      </c>
    </row>
    <row r="86" spans="1:16" s="200" customFormat="1" ht="18" customHeight="1">
      <c r="A86" s="213" t="s">
        <v>678</v>
      </c>
      <c r="B86" s="226"/>
      <c r="C86" s="214" t="s">
        <v>679</v>
      </c>
      <c r="D86" s="186" t="e">
        <f>D87+D88+D89+#REF!</f>
        <v>#REF!</v>
      </c>
      <c r="E86" s="186" t="e">
        <f>E87+E88+E89+E90+#REF!+E92</f>
        <v>#REF!</v>
      </c>
      <c r="F86" s="186" t="e">
        <f>F87+F88+F89+F90+#REF!+F92</f>
        <v>#REF!</v>
      </c>
      <c r="G86" s="186" t="e">
        <f>G87+G88+G89+G90+#REF!+G92</f>
        <v>#REF!</v>
      </c>
      <c r="H86" s="186" t="e">
        <f>H87+H88+H89+H90+#REF!+H92+H93+H94+H95+#REF!</f>
        <v>#REF!</v>
      </c>
      <c r="I86" s="186" t="e">
        <f>I87+I88+I89+I90+#REF!+I92+I93+I94+I95+#REF!</f>
        <v>#REF!</v>
      </c>
      <c r="J86" s="186" t="e">
        <f>J87+J88+J89+J90+#REF!+J92+J93+J94+J95+#REF!</f>
        <v>#REF!</v>
      </c>
      <c r="K86" s="186">
        <f aca="true" t="shared" si="16" ref="K86:P86">SUM(K87:K95)</f>
        <v>102748</v>
      </c>
      <c r="L86" s="186">
        <f t="shared" si="16"/>
        <v>31509</v>
      </c>
      <c r="M86" s="185">
        <f t="shared" si="7"/>
        <v>0.3066629034141784</v>
      </c>
      <c r="N86" s="186">
        <f t="shared" si="16"/>
        <v>31509</v>
      </c>
      <c r="O86" s="186">
        <f t="shared" si="16"/>
        <v>0</v>
      </c>
      <c r="P86" s="186">
        <f t="shared" si="16"/>
        <v>0</v>
      </c>
    </row>
    <row r="87" spans="1:16" s="200" customFormat="1" ht="14.25" customHeight="1">
      <c r="A87" s="26"/>
      <c r="B87" s="16" t="s">
        <v>619</v>
      </c>
      <c r="C87" s="27" t="s">
        <v>548</v>
      </c>
      <c r="D87" s="7">
        <v>90000</v>
      </c>
      <c r="E87" s="18">
        <v>90000</v>
      </c>
      <c r="F87" s="18">
        <v>0</v>
      </c>
      <c r="G87" s="18">
        <v>0</v>
      </c>
      <c r="H87" s="18">
        <v>51600</v>
      </c>
      <c r="I87" s="18">
        <v>0</v>
      </c>
      <c r="J87" s="18">
        <v>0</v>
      </c>
      <c r="K87" s="7">
        <v>70400</v>
      </c>
      <c r="L87" s="7">
        <v>17610</v>
      </c>
      <c r="M87" s="312">
        <f t="shared" si="7"/>
        <v>0.25014204545454544</v>
      </c>
      <c r="N87" s="18">
        <f>L87</f>
        <v>17610</v>
      </c>
      <c r="O87" s="22">
        <v>0</v>
      </c>
      <c r="P87" s="22">
        <v>0</v>
      </c>
    </row>
    <row r="88" spans="1:16" s="200" customFormat="1" ht="15.75" customHeight="1">
      <c r="A88" s="26"/>
      <c r="B88" s="16" t="s">
        <v>623</v>
      </c>
      <c r="C88" s="27" t="s">
        <v>624</v>
      </c>
      <c r="D88" s="7">
        <v>6390</v>
      </c>
      <c r="E88" s="18">
        <v>6390</v>
      </c>
      <c r="F88" s="18">
        <v>0</v>
      </c>
      <c r="G88" s="18">
        <v>0</v>
      </c>
      <c r="H88" s="18">
        <v>3825</v>
      </c>
      <c r="I88" s="18">
        <v>0</v>
      </c>
      <c r="J88" s="18">
        <v>0</v>
      </c>
      <c r="K88" s="7">
        <v>4712</v>
      </c>
      <c r="L88" s="7">
        <v>4712</v>
      </c>
      <c r="M88" s="312">
        <f t="shared" si="7"/>
        <v>1</v>
      </c>
      <c r="N88" s="18">
        <f aca="true" t="shared" si="17" ref="N88:N95">L88</f>
        <v>4712</v>
      </c>
      <c r="O88" s="22">
        <v>0</v>
      </c>
      <c r="P88" s="22">
        <v>0</v>
      </c>
    </row>
    <row r="89" spans="1:16" s="200" customFormat="1" ht="16.5" customHeight="1">
      <c r="A89" s="26"/>
      <c r="B89" s="23" t="s">
        <v>675</v>
      </c>
      <c r="C89" s="27" t="s">
        <v>680</v>
      </c>
      <c r="D89" s="7">
        <v>19597</v>
      </c>
      <c r="E89" s="18">
        <v>17235</v>
      </c>
      <c r="F89" s="18">
        <v>0</v>
      </c>
      <c r="G89" s="18">
        <v>0</v>
      </c>
      <c r="H89" s="18">
        <v>9550</v>
      </c>
      <c r="I89" s="18">
        <v>0</v>
      </c>
      <c r="J89" s="18">
        <v>0</v>
      </c>
      <c r="K89" s="7">
        <v>12942</v>
      </c>
      <c r="L89" s="7">
        <v>3846</v>
      </c>
      <c r="M89" s="312">
        <f t="shared" si="7"/>
        <v>0.29717199814557255</v>
      </c>
      <c r="N89" s="18">
        <f t="shared" si="17"/>
        <v>3846</v>
      </c>
      <c r="O89" s="22">
        <v>0</v>
      </c>
      <c r="P89" s="22">
        <v>0</v>
      </c>
    </row>
    <row r="90" spans="1:16" s="200" customFormat="1" ht="15" customHeight="1">
      <c r="A90" s="26"/>
      <c r="B90" s="23" t="s">
        <v>627</v>
      </c>
      <c r="C90" s="27" t="s">
        <v>628</v>
      </c>
      <c r="D90" s="7"/>
      <c r="E90" s="18">
        <v>2362</v>
      </c>
      <c r="F90" s="18">
        <v>0</v>
      </c>
      <c r="G90" s="18">
        <v>0</v>
      </c>
      <c r="H90" s="18">
        <v>1358</v>
      </c>
      <c r="I90" s="18">
        <v>0</v>
      </c>
      <c r="J90" s="18">
        <v>0</v>
      </c>
      <c r="K90" s="7">
        <v>1840</v>
      </c>
      <c r="L90" s="7">
        <v>547</v>
      </c>
      <c r="M90" s="312">
        <f t="shared" si="7"/>
        <v>0.29728260869565215</v>
      </c>
      <c r="N90" s="18">
        <f t="shared" si="17"/>
        <v>547</v>
      </c>
      <c r="O90" s="22">
        <v>0</v>
      </c>
      <c r="P90" s="22">
        <v>0</v>
      </c>
    </row>
    <row r="91" spans="1:16" s="200" customFormat="1" ht="15" customHeight="1">
      <c r="A91" s="26"/>
      <c r="B91" s="16" t="s">
        <v>470</v>
      </c>
      <c r="C91" s="27" t="s">
        <v>483</v>
      </c>
      <c r="D91" s="7"/>
      <c r="E91" s="18"/>
      <c r="F91" s="18"/>
      <c r="G91" s="18"/>
      <c r="H91" s="18"/>
      <c r="I91" s="18"/>
      <c r="J91" s="18"/>
      <c r="K91" s="7">
        <v>7160</v>
      </c>
      <c r="L91" s="7">
        <v>1800</v>
      </c>
      <c r="M91" s="312">
        <f t="shared" si="7"/>
        <v>0.25139664804469275</v>
      </c>
      <c r="N91" s="18">
        <f t="shared" si="17"/>
        <v>1800</v>
      </c>
      <c r="O91" s="22">
        <v>0</v>
      </c>
      <c r="P91" s="22">
        <v>0</v>
      </c>
    </row>
    <row r="92" spans="1:16" s="200" customFormat="1" ht="15" customHeight="1">
      <c r="A92" s="26"/>
      <c r="B92" s="16" t="s">
        <v>629</v>
      </c>
      <c r="C92" s="27" t="s">
        <v>630</v>
      </c>
      <c r="D92" s="7"/>
      <c r="E92" s="18">
        <v>3103</v>
      </c>
      <c r="F92" s="18">
        <v>0</v>
      </c>
      <c r="G92" s="18">
        <v>0</v>
      </c>
      <c r="H92" s="18">
        <v>1691</v>
      </c>
      <c r="I92" s="18">
        <v>0</v>
      </c>
      <c r="J92" s="18">
        <v>0</v>
      </c>
      <c r="K92" s="7">
        <v>1060</v>
      </c>
      <c r="L92" s="7">
        <v>1060</v>
      </c>
      <c r="M92" s="312">
        <f t="shared" si="7"/>
        <v>1</v>
      </c>
      <c r="N92" s="18">
        <f t="shared" si="17"/>
        <v>1060</v>
      </c>
      <c r="O92" s="22">
        <v>0</v>
      </c>
      <c r="P92" s="22">
        <v>0</v>
      </c>
    </row>
    <row r="93" spans="1:16" s="200" customFormat="1" ht="14.25" customHeight="1">
      <c r="A93" s="26"/>
      <c r="B93" s="16" t="s">
        <v>635</v>
      </c>
      <c r="C93" s="27" t="s">
        <v>22</v>
      </c>
      <c r="D93" s="7"/>
      <c r="E93" s="18"/>
      <c r="F93" s="18"/>
      <c r="G93" s="18"/>
      <c r="H93" s="18">
        <v>17600</v>
      </c>
      <c r="I93" s="18">
        <v>0</v>
      </c>
      <c r="J93" s="18">
        <v>0</v>
      </c>
      <c r="K93" s="7">
        <v>1400</v>
      </c>
      <c r="L93" s="7">
        <v>0</v>
      </c>
      <c r="M93" s="312">
        <f t="shared" si="7"/>
        <v>0</v>
      </c>
      <c r="N93" s="18">
        <f t="shared" si="17"/>
        <v>0</v>
      </c>
      <c r="O93" s="22">
        <v>0</v>
      </c>
      <c r="P93" s="22">
        <v>0</v>
      </c>
    </row>
    <row r="94" spans="1:16" s="200" customFormat="1" ht="15" customHeight="1">
      <c r="A94" s="26"/>
      <c r="B94" s="16" t="s">
        <v>637</v>
      </c>
      <c r="C94" s="27" t="s">
        <v>638</v>
      </c>
      <c r="D94" s="7"/>
      <c r="E94" s="18"/>
      <c r="F94" s="18"/>
      <c r="G94" s="18"/>
      <c r="H94" s="18">
        <v>2225</v>
      </c>
      <c r="I94" s="18">
        <v>0</v>
      </c>
      <c r="J94" s="18">
        <v>0</v>
      </c>
      <c r="K94" s="7">
        <v>600</v>
      </c>
      <c r="L94" s="7">
        <v>0</v>
      </c>
      <c r="M94" s="312">
        <f t="shared" si="7"/>
        <v>0</v>
      </c>
      <c r="N94" s="18">
        <f t="shared" si="17"/>
        <v>0</v>
      </c>
      <c r="O94" s="22">
        <v>0</v>
      </c>
      <c r="P94" s="22">
        <v>0</v>
      </c>
    </row>
    <row r="95" spans="1:16" s="200" customFormat="1" ht="15" customHeight="1">
      <c r="A95" s="26"/>
      <c r="B95" s="16" t="s">
        <v>641</v>
      </c>
      <c r="C95" s="27" t="s">
        <v>642</v>
      </c>
      <c r="D95" s="7"/>
      <c r="E95" s="18"/>
      <c r="F95" s="18"/>
      <c r="G95" s="18"/>
      <c r="H95" s="94">
        <v>1250</v>
      </c>
      <c r="I95" s="94">
        <v>0</v>
      </c>
      <c r="J95" s="94">
        <v>0</v>
      </c>
      <c r="K95" s="7">
        <v>2634</v>
      </c>
      <c r="L95" s="66">
        <v>1934</v>
      </c>
      <c r="M95" s="312">
        <f aca="true" t="shared" si="18" ref="M95:M156">L95/K95</f>
        <v>0.7342444950645406</v>
      </c>
      <c r="N95" s="18">
        <f t="shared" si="17"/>
        <v>1934</v>
      </c>
      <c r="O95" s="22">
        <v>0</v>
      </c>
      <c r="P95" s="22">
        <v>0</v>
      </c>
    </row>
    <row r="96" spans="1:16" s="199" customFormat="1" ht="17.25" customHeight="1">
      <c r="A96" s="213" t="s">
        <v>315</v>
      </c>
      <c r="B96" s="226"/>
      <c r="C96" s="214" t="s">
        <v>544</v>
      </c>
      <c r="D96" s="186"/>
      <c r="E96" s="186"/>
      <c r="F96" s="186"/>
      <c r="G96" s="186"/>
      <c r="H96" s="186"/>
      <c r="I96" s="186"/>
      <c r="J96" s="186"/>
      <c r="K96" s="186">
        <f aca="true" t="shared" si="19" ref="K96:P96">K97</f>
        <v>3380</v>
      </c>
      <c r="L96" s="186">
        <f t="shared" si="19"/>
        <v>0</v>
      </c>
      <c r="M96" s="185">
        <f t="shared" si="18"/>
        <v>0</v>
      </c>
      <c r="N96" s="186">
        <f t="shared" si="19"/>
        <v>0</v>
      </c>
      <c r="O96" s="182">
        <f t="shared" si="19"/>
        <v>0</v>
      </c>
      <c r="P96" s="182">
        <f t="shared" si="19"/>
        <v>0</v>
      </c>
    </row>
    <row r="97" spans="1:16" s="200" customFormat="1" ht="21.75" customHeight="1">
      <c r="A97" s="26"/>
      <c r="B97" s="16" t="s">
        <v>316</v>
      </c>
      <c r="C97" s="137" t="s">
        <v>317</v>
      </c>
      <c r="D97" s="7"/>
      <c r="E97" s="18"/>
      <c r="F97" s="18"/>
      <c r="G97" s="18"/>
      <c r="H97" s="18"/>
      <c r="I97" s="18"/>
      <c r="J97" s="18"/>
      <c r="K97" s="7">
        <v>3380</v>
      </c>
      <c r="L97" s="7">
        <v>0</v>
      </c>
      <c r="M97" s="312">
        <f t="shared" si="18"/>
        <v>0</v>
      </c>
      <c r="N97" s="18">
        <v>0</v>
      </c>
      <c r="O97" s="22">
        <v>0</v>
      </c>
      <c r="P97" s="22">
        <f>L97</f>
        <v>0</v>
      </c>
    </row>
    <row r="98" spans="1:16" s="199" customFormat="1" ht="16.5" customHeight="1">
      <c r="A98" s="213" t="s">
        <v>683</v>
      </c>
      <c r="B98" s="226"/>
      <c r="C98" s="214" t="s">
        <v>684</v>
      </c>
      <c r="D98" s="186">
        <f>D99</f>
        <v>134900</v>
      </c>
      <c r="E98" s="186" t="e">
        <f>E99+#REF!+#REF!+#REF!</f>
        <v>#REF!</v>
      </c>
      <c r="F98" s="186" t="e">
        <f>F99+#REF!+#REF!+#REF!</f>
        <v>#REF!</v>
      </c>
      <c r="G98" s="186" t="e">
        <f>G99+#REF!+#REF!+#REF!</f>
        <v>#REF!</v>
      </c>
      <c r="H98" s="186">
        <f>H99+H100+H102</f>
        <v>86060</v>
      </c>
      <c r="I98" s="186">
        <f>I99+I100+I102</f>
        <v>0</v>
      </c>
      <c r="J98" s="186">
        <f>J99+J100+J102</f>
        <v>0</v>
      </c>
      <c r="K98" s="186">
        <f aca="true" t="shared" si="20" ref="K98:P98">SUM(K99:K104)</f>
        <v>82800</v>
      </c>
      <c r="L98" s="186">
        <f t="shared" si="20"/>
        <v>19683</v>
      </c>
      <c r="M98" s="185">
        <f t="shared" si="18"/>
        <v>0.23771739130434782</v>
      </c>
      <c r="N98" s="186">
        <f t="shared" si="20"/>
        <v>0</v>
      </c>
      <c r="O98" s="186">
        <f t="shared" si="20"/>
        <v>19683</v>
      </c>
      <c r="P98" s="186">
        <f t="shared" si="20"/>
        <v>0</v>
      </c>
    </row>
    <row r="99" spans="1:16" s="200" customFormat="1" ht="12.75" customHeight="1">
      <c r="A99" s="26"/>
      <c r="B99" s="16" t="s">
        <v>617</v>
      </c>
      <c r="C99" s="27" t="s">
        <v>685</v>
      </c>
      <c r="D99" s="7">
        <v>134900</v>
      </c>
      <c r="E99" s="18">
        <v>191600</v>
      </c>
      <c r="F99" s="18">
        <v>0</v>
      </c>
      <c r="G99" s="18">
        <v>0</v>
      </c>
      <c r="H99" s="18">
        <v>74690</v>
      </c>
      <c r="I99" s="18">
        <v>0</v>
      </c>
      <c r="J99" s="18">
        <v>0</v>
      </c>
      <c r="K99" s="7">
        <v>60000</v>
      </c>
      <c r="L99" s="7">
        <v>14849</v>
      </c>
      <c r="M99" s="312">
        <f t="shared" si="18"/>
        <v>0.24748333333333333</v>
      </c>
      <c r="N99" s="18">
        <v>0</v>
      </c>
      <c r="O99" s="22">
        <f aca="true" t="shared" si="21" ref="O99:O104">L99</f>
        <v>14849</v>
      </c>
      <c r="P99" s="22">
        <v>0</v>
      </c>
    </row>
    <row r="100" spans="1:16" s="200" customFormat="1" ht="12.75" customHeight="1">
      <c r="A100" s="26"/>
      <c r="B100" s="16" t="s">
        <v>629</v>
      </c>
      <c r="C100" s="27" t="s">
        <v>630</v>
      </c>
      <c r="D100" s="7"/>
      <c r="E100" s="18"/>
      <c r="F100" s="18"/>
      <c r="G100" s="18"/>
      <c r="H100" s="18">
        <v>3670</v>
      </c>
      <c r="I100" s="18">
        <v>0</v>
      </c>
      <c r="J100" s="18">
        <v>0</v>
      </c>
      <c r="K100" s="7">
        <v>12100</v>
      </c>
      <c r="L100" s="7">
        <v>2174</v>
      </c>
      <c r="M100" s="312">
        <f t="shared" si="18"/>
        <v>0.17966942148760331</v>
      </c>
      <c r="N100" s="18">
        <v>0</v>
      </c>
      <c r="O100" s="22">
        <f t="shared" si="21"/>
        <v>2174</v>
      </c>
      <c r="P100" s="22">
        <v>0</v>
      </c>
    </row>
    <row r="101" spans="1:16" s="200" customFormat="1" ht="12.75" customHeight="1">
      <c r="A101" s="26"/>
      <c r="B101" s="16" t="s">
        <v>631</v>
      </c>
      <c r="C101" s="27" t="s">
        <v>20</v>
      </c>
      <c r="D101" s="7"/>
      <c r="E101" s="18"/>
      <c r="F101" s="18"/>
      <c r="G101" s="18"/>
      <c r="H101" s="18"/>
      <c r="I101" s="18"/>
      <c r="J101" s="18"/>
      <c r="K101" s="7">
        <v>1800</v>
      </c>
      <c r="L101" s="7">
        <v>1292</v>
      </c>
      <c r="M101" s="312">
        <f t="shared" si="18"/>
        <v>0.7177777777777777</v>
      </c>
      <c r="N101" s="18">
        <v>0</v>
      </c>
      <c r="O101" s="22">
        <f t="shared" si="21"/>
        <v>1292</v>
      </c>
      <c r="P101" s="22">
        <v>0</v>
      </c>
    </row>
    <row r="102" spans="1:16" s="200" customFormat="1" ht="12.75" customHeight="1">
      <c r="A102" s="26"/>
      <c r="B102" s="16" t="s">
        <v>635</v>
      </c>
      <c r="C102" s="27" t="s">
        <v>22</v>
      </c>
      <c r="D102" s="7"/>
      <c r="E102" s="18"/>
      <c r="F102" s="18"/>
      <c r="G102" s="18"/>
      <c r="H102" s="18">
        <v>7700</v>
      </c>
      <c r="I102" s="18">
        <v>0</v>
      </c>
      <c r="J102" s="18">
        <v>0</v>
      </c>
      <c r="K102" s="7">
        <v>7400</v>
      </c>
      <c r="L102" s="7">
        <v>1368</v>
      </c>
      <c r="M102" s="312">
        <f t="shared" si="18"/>
        <v>0.18486486486486486</v>
      </c>
      <c r="N102" s="18">
        <v>0</v>
      </c>
      <c r="O102" s="22">
        <f t="shared" si="21"/>
        <v>1368</v>
      </c>
      <c r="P102" s="22">
        <v>0</v>
      </c>
    </row>
    <row r="103" spans="1:16" s="200" customFormat="1" ht="12.75" customHeight="1">
      <c r="A103" s="26"/>
      <c r="B103" s="16" t="s">
        <v>637</v>
      </c>
      <c r="C103" s="27" t="s">
        <v>638</v>
      </c>
      <c r="D103" s="7"/>
      <c r="E103" s="18"/>
      <c r="F103" s="18"/>
      <c r="G103" s="18"/>
      <c r="H103" s="18"/>
      <c r="I103" s="18"/>
      <c r="J103" s="18"/>
      <c r="K103" s="7">
        <v>500</v>
      </c>
      <c r="L103" s="7">
        <v>0</v>
      </c>
      <c r="M103" s="312">
        <f t="shared" si="18"/>
        <v>0</v>
      </c>
      <c r="N103" s="18">
        <v>0</v>
      </c>
      <c r="O103" s="22">
        <f t="shared" si="21"/>
        <v>0</v>
      </c>
      <c r="P103" s="22">
        <v>0</v>
      </c>
    </row>
    <row r="104" spans="1:16" s="200" customFormat="1" ht="12.75" customHeight="1">
      <c r="A104" s="26"/>
      <c r="B104" s="16" t="s">
        <v>570</v>
      </c>
      <c r="C104" s="27" t="s">
        <v>571</v>
      </c>
      <c r="D104" s="7"/>
      <c r="E104" s="18"/>
      <c r="F104" s="18"/>
      <c r="G104" s="18"/>
      <c r="H104" s="18"/>
      <c r="I104" s="18"/>
      <c r="J104" s="18"/>
      <c r="K104" s="7">
        <v>1000</v>
      </c>
      <c r="L104" s="7">
        <v>0</v>
      </c>
      <c r="M104" s="312">
        <f t="shared" si="18"/>
        <v>0</v>
      </c>
      <c r="N104" s="18">
        <v>0</v>
      </c>
      <c r="O104" s="22">
        <f t="shared" si="21"/>
        <v>0</v>
      </c>
      <c r="P104" s="22">
        <v>0</v>
      </c>
    </row>
    <row r="105" spans="1:16" s="199" customFormat="1" ht="15.75" customHeight="1">
      <c r="A105" s="213" t="s">
        <v>686</v>
      </c>
      <c r="B105" s="226"/>
      <c r="C105" s="214" t="s">
        <v>687</v>
      </c>
      <c r="D105" s="186" t="e">
        <f>D107+D108+D109+#REF!+D120+#REF!</f>
        <v>#REF!</v>
      </c>
      <c r="E105" s="186" t="e">
        <f>E107+E108+E109+E111+#REF!+#REF!+E112+E113+#REF!+E114+E116+E118+E119+E120+#REF!+#REF!</f>
        <v>#REF!</v>
      </c>
      <c r="F105" s="186" t="e">
        <f>F107+F108+F109+F111+#REF!+#REF!+F112+F113+#REF!+F114+F116+F118+F119+F120+#REF!+#REF!</f>
        <v>#REF!</v>
      </c>
      <c r="G105" s="186" t="e">
        <f>G107+G108+G109+G111+#REF!+#REF!+G112+G113+#REF!+G114+G116+G118+G119+G120+#REF!+#REF!</f>
        <v>#REF!</v>
      </c>
      <c r="H105" s="186" t="e">
        <f>H107+H108+H109+H111+H106+#REF!+H112+H113+#REF!+H114+H116+H118+H119+#REF!+H120+H121+#REF!+H117</f>
        <v>#REF!</v>
      </c>
      <c r="I105" s="186" t="e">
        <f>I107+I108+I109+I111+I106+#REF!+I112+I113+#REF!+I114+I116+I118+I119+#REF!+I120+I121+#REF!+I117</f>
        <v>#REF!</v>
      </c>
      <c r="J105" s="186" t="e">
        <f>J107+J108+J109+J111+J106+#REF!+J112+J113+#REF!+J114+J116+J118+J119+#REF!+J120+J121+#REF!+J117</f>
        <v>#REF!</v>
      </c>
      <c r="K105" s="186">
        <f>SUM(K106:K123)</f>
        <v>2255383</v>
      </c>
      <c r="L105" s="186">
        <f>SUM(L106:L123)</f>
        <v>569957</v>
      </c>
      <c r="M105" s="185">
        <f t="shared" si="18"/>
        <v>0.25270962847551837</v>
      </c>
      <c r="N105" s="186">
        <f>SUM(N106:N123)</f>
        <v>0</v>
      </c>
      <c r="O105" s="186">
        <f>SUM(O106:O123)</f>
        <v>567455</v>
      </c>
      <c r="P105" s="186">
        <f>SUM(P106:P123)</f>
        <v>2502</v>
      </c>
    </row>
    <row r="106" spans="1:16" s="200" customFormat="1" ht="16.5" customHeight="1">
      <c r="A106" s="28"/>
      <c r="B106" s="29" t="s">
        <v>607</v>
      </c>
      <c r="C106" s="27" t="s">
        <v>508</v>
      </c>
      <c r="D106" s="7"/>
      <c r="E106" s="18"/>
      <c r="F106" s="18"/>
      <c r="G106" s="18"/>
      <c r="H106" s="18">
        <v>216</v>
      </c>
      <c r="I106" s="18">
        <v>0</v>
      </c>
      <c r="J106" s="18">
        <v>0</v>
      </c>
      <c r="K106" s="7">
        <v>300</v>
      </c>
      <c r="L106" s="7">
        <v>75</v>
      </c>
      <c r="M106" s="312">
        <f t="shared" si="18"/>
        <v>0.25</v>
      </c>
      <c r="N106" s="18">
        <v>0</v>
      </c>
      <c r="O106" s="22">
        <f>L106</f>
        <v>75</v>
      </c>
      <c r="P106" s="22">
        <v>0</v>
      </c>
    </row>
    <row r="107" spans="1:16" s="200" customFormat="1" ht="15.75" customHeight="1">
      <c r="A107" s="28"/>
      <c r="B107" s="29" t="s">
        <v>619</v>
      </c>
      <c r="C107" s="27" t="s">
        <v>548</v>
      </c>
      <c r="D107" s="7">
        <v>1172382</v>
      </c>
      <c r="E107" s="18">
        <v>1396150</v>
      </c>
      <c r="F107" s="18">
        <v>0</v>
      </c>
      <c r="G107" s="18">
        <v>0</v>
      </c>
      <c r="H107" s="18">
        <v>1069576</v>
      </c>
      <c r="I107" s="18">
        <v>0</v>
      </c>
      <c r="J107" s="18">
        <v>0</v>
      </c>
      <c r="K107" s="7">
        <v>1399907</v>
      </c>
      <c r="L107" s="7">
        <v>292647</v>
      </c>
      <c r="M107" s="312">
        <f t="shared" si="18"/>
        <v>0.20904745815257728</v>
      </c>
      <c r="N107" s="18">
        <v>0</v>
      </c>
      <c r="O107" s="22">
        <f aca="true" t="shared" si="22" ref="O107:O123">L107</f>
        <v>292647</v>
      </c>
      <c r="P107" s="22">
        <v>0</v>
      </c>
    </row>
    <row r="108" spans="1:16" s="200" customFormat="1" ht="16.5" customHeight="1">
      <c r="A108" s="28"/>
      <c r="B108" s="29" t="s">
        <v>623</v>
      </c>
      <c r="C108" s="27" t="s">
        <v>624</v>
      </c>
      <c r="D108" s="7">
        <v>77447</v>
      </c>
      <c r="E108" s="18">
        <v>95133</v>
      </c>
      <c r="F108" s="18">
        <v>0</v>
      </c>
      <c r="G108" s="18">
        <v>0</v>
      </c>
      <c r="H108" s="18">
        <v>81433</v>
      </c>
      <c r="I108" s="18">
        <v>0</v>
      </c>
      <c r="J108" s="18">
        <v>0</v>
      </c>
      <c r="K108" s="7">
        <v>71268</v>
      </c>
      <c r="L108" s="7">
        <v>71268</v>
      </c>
      <c r="M108" s="312">
        <f t="shared" si="18"/>
        <v>1</v>
      </c>
      <c r="N108" s="18">
        <v>0</v>
      </c>
      <c r="O108" s="22">
        <f t="shared" si="22"/>
        <v>71268</v>
      </c>
      <c r="P108" s="22">
        <v>0</v>
      </c>
    </row>
    <row r="109" spans="1:16" s="200" customFormat="1" ht="15" customHeight="1">
      <c r="A109" s="28"/>
      <c r="B109" s="30" t="s">
        <v>675</v>
      </c>
      <c r="C109" s="27" t="s">
        <v>653</v>
      </c>
      <c r="D109" s="7">
        <v>236159</v>
      </c>
      <c r="E109" s="18">
        <v>262390</v>
      </c>
      <c r="F109" s="18">
        <v>0</v>
      </c>
      <c r="G109" s="18">
        <v>0</v>
      </c>
      <c r="H109" s="18">
        <v>195558</v>
      </c>
      <c r="I109" s="18">
        <v>0</v>
      </c>
      <c r="J109" s="18">
        <v>0</v>
      </c>
      <c r="K109" s="7">
        <v>197576</v>
      </c>
      <c r="L109" s="7">
        <v>60346</v>
      </c>
      <c r="M109" s="312">
        <f t="shared" si="18"/>
        <v>0.3054318338259708</v>
      </c>
      <c r="N109" s="18">
        <v>0</v>
      </c>
      <c r="O109" s="22">
        <f t="shared" si="22"/>
        <v>60346</v>
      </c>
      <c r="P109" s="22">
        <v>0</v>
      </c>
    </row>
    <row r="110" spans="1:16" s="200" customFormat="1" ht="15" customHeight="1">
      <c r="A110" s="28"/>
      <c r="B110" s="30" t="s">
        <v>627</v>
      </c>
      <c r="C110" s="27" t="s">
        <v>628</v>
      </c>
      <c r="D110" s="7"/>
      <c r="E110" s="18"/>
      <c r="F110" s="18"/>
      <c r="G110" s="18"/>
      <c r="H110" s="18"/>
      <c r="I110" s="18"/>
      <c r="J110" s="18"/>
      <c r="K110" s="7">
        <v>31817</v>
      </c>
      <c r="L110" s="7">
        <v>8880</v>
      </c>
      <c r="M110" s="312">
        <f t="shared" si="18"/>
        <v>0.27909608071156927</v>
      </c>
      <c r="N110" s="18">
        <v>0</v>
      </c>
      <c r="O110" s="22">
        <f t="shared" si="22"/>
        <v>8880</v>
      </c>
      <c r="P110" s="22">
        <v>0</v>
      </c>
    </row>
    <row r="111" spans="1:16" s="200" customFormat="1" ht="13.5" customHeight="1">
      <c r="A111" s="28"/>
      <c r="B111" s="30" t="s">
        <v>470</v>
      </c>
      <c r="C111" s="27" t="s">
        <v>483</v>
      </c>
      <c r="D111" s="7"/>
      <c r="E111" s="18">
        <v>35746</v>
      </c>
      <c r="F111" s="18">
        <v>0</v>
      </c>
      <c r="G111" s="18">
        <v>0</v>
      </c>
      <c r="H111" s="18">
        <v>27881</v>
      </c>
      <c r="I111" s="18">
        <v>0</v>
      </c>
      <c r="J111" s="18">
        <v>0</v>
      </c>
      <c r="K111" s="7">
        <v>2000</v>
      </c>
      <c r="L111" s="7">
        <v>0</v>
      </c>
      <c r="M111" s="312">
        <f t="shared" si="18"/>
        <v>0</v>
      </c>
      <c r="N111" s="18">
        <v>0</v>
      </c>
      <c r="O111" s="22">
        <f t="shared" si="22"/>
        <v>0</v>
      </c>
      <c r="P111" s="22">
        <v>0</v>
      </c>
    </row>
    <row r="112" spans="1:16" s="200" customFormat="1" ht="15.75" customHeight="1">
      <c r="A112" s="28"/>
      <c r="B112" s="29" t="s">
        <v>629</v>
      </c>
      <c r="C112" s="27" t="s">
        <v>656</v>
      </c>
      <c r="D112" s="7"/>
      <c r="E112" s="18">
        <v>125516</v>
      </c>
      <c r="F112" s="18">
        <v>18656</v>
      </c>
      <c r="G112" s="18">
        <v>0</v>
      </c>
      <c r="H112" s="18">
        <v>70370</v>
      </c>
      <c r="I112" s="18">
        <v>0</v>
      </c>
      <c r="J112" s="18">
        <v>0</v>
      </c>
      <c r="K112" s="7">
        <v>58200</v>
      </c>
      <c r="L112" s="7">
        <v>15839</v>
      </c>
      <c r="M112" s="312">
        <f t="shared" si="18"/>
        <v>0.27214776632302407</v>
      </c>
      <c r="N112" s="18">
        <v>0</v>
      </c>
      <c r="O112" s="22">
        <f t="shared" si="22"/>
        <v>15839</v>
      </c>
      <c r="P112" s="22">
        <v>0</v>
      </c>
    </row>
    <row r="113" spans="1:16" s="200" customFormat="1" ht="15.75" customHeight="1">
      <c r="A113" s="28"/>
      <c r="B113" s="29" t="s">
        <v>631</v>
      </c>
      <c r="C113" s="27" t="s">
        <v>632</v>
      </c>
      <c r="D113" s="7"/>
      <c r="E113" s="18">
        <v>60600</v>
      </c>
      <c r="F113" s="18">
        <v>0</v>
      </c>
      <c r="G113" s="18">
        <v>0</v>
      </c>
      <c r="H113" s="18">
        <v>70000</v>
      </c>
      <c r="I113" s="18">
        <v>0</v>
      </c>
      <c r="J113" s="18">
        <v>0</v>
      </c>
      <c r="K113" s="7">
        <v>45200</v>
      </c>
      <c r="L113" s="7">
        <v>28695</v>
      </c>
      <c r="M113" s="312">
        <f t="shared" si="18"/>
        <v>0.6348451327433628</v>
      </c>
      <c r="N113" s="18">
        <v>0</v>
      </c>
      <c r="O113" s="22">
        <f t="shared" si="22"/>
        <v>28695</v>
      </c>
      <c r="P113" s="22">
        <v>0</v>
      </c>
    </row>
    <row r="114" spans="1:16" s="200" customFormat="1" ht="13.5" customHeight="1">
      <c r="A114" s="28"/>
      <c r="B114" s="29" t="s">
        <v>635</v>
      </c>
      <c r="C114" s="27" t="s">
        <v>636</v>
      </c>
      <c r="D114" s="7"/>
      <c r="E114" s="18">
        <v>427481</v>
      </c>
      <c r="F114" s="18">
        <v>18859</v>
      </c>
      <c r="G114" s="18">
        <v>0</v>
      </c>
      <c r="H114" s="18">
        <v>385087</v>
      </c>
      <c r="I114" s="18">
        <v>0</v>
      </c>
      <c r="J114" s="18">
        <v>0</v>
      </c>
      <c r="K114" s="7">
        <v>347435</v>
      </c>
      <c r="L114" s="7">
        <v>70374</v>
      </c>
      <c r="M114" s="312">
        <f t="shared" si="18"/>
        <v>0.2025529955243427</v>
      </c>
      <c r="N114" s="18">
        <v>0</v>
      </c>
      <c r="O114" s="22">
        <f t="shared" si="22"/>
        <v>70374</v>
      </c>
      <c r="P114" s="22">
        <v>0</v>
      </c>
    </row>
    <row r="115" spans="1:16" s="200" customFormat="1" ht="13.5" customHeight="1">
      <c r="A115" s="28"/>
      <c r="B115" s="29" t="s">
        <v>484</v>
      </c>
      <c r="C115" s="27" t="s">
        <v>305</v>
      </c>
      <c r="D115" s="7"/>
      <c r="E115" s="18"/>
      <c r="F115" s="18"/>
      <c r="G115" s="18"/>
      <c r="H115" s="18"/>
      <c r="I115" s="18"/>
      <c r="J115" s="18"/>
      <c r="K115" s="7">
        <v>3600</v>
      </c>
      <c r="L115" s="7">
        <v>900</v>
      </c>
      <c r="M115" s="312">
        <f t="shared" si="18"/>
        <v>0.25</v>
      </c>
      <c r="N115" s="18">
        <v>0</v>
      </c>
      <c r="O115" s="22">
        <f t="shared" si="22"/>
        <v>900</v>
      </c>
      <c r="P115" s="22">
        <v>0</v>
      </c>
    </row>
    <row r="116" spans="1:16" s="200" customFormat="1" ht="14.25" customHeight="1">
      <c r="A116" s="28"/>
      <c r="B116" s="29" t="s">
        <v>637</v>
      </c>
      <c r="C116" s="27" t="s">
        <v>638</v>
      </c>
      <c r="D116" s="7"/>
      <c r="E116" s="18">
        <v>10250</v>
      </c>
      <c r="F116" s="18">
        <v>761</v>
      </c>
      <c r="G116" s="18">
        <v>0</v>
      </c>
      <c r="H116" s="18">
        <v>7000</v>
      </c>
      <c r="I116" s="18">
        <v>0</v>
      </c>
      <c r="J116" s="18">
        <v>0</v>
      </c>
      <c r="K116" s="7">
        <v>8850</v>
      </c>
      <c r="L116" s="7">
        <v>1884</v>
      </c>
      <c r="M116" s="312">
        <f t="shared" si="18"/>
        <v>0.2128813559322034</v>
      </c>
      <c r="N116" s="18">
        <v>0</v>
      </c>
      <c r="O116" s="22">
        <f t="shared" si="22"/>
        <v>1884</v>
      </c>
      <c r="P116" s="22">
        <v>0</v>
      </c>
    </row>
    <row r="117" spans="1:16" s="200" customFormat="1" ht="14.25" customHeight="1">
      <c r="A117" s="28"/>
      <c r="B117" s="29" t="s">
        <v>570</v>
      </c>
      <c r="C117" s="27" t="s">
        <v>571</v>
      </c>
      <c r="D117" s="7"/>
      <c r="E117" s="18"/>
      <c r="F117" s="18"/>
      <c r="G117" s="18"/>
      <c r="H117" s="18">
        <v>1000</v>
      </c>
      <c r="I117" s="18">
        <v>0</v>
      </c>
      <c r="J117" s="18">
        <v>0</v>
      </c>
      <c r="K117" s="7">
        <v>2000</v>
      </c>
      <c r="L117" s="7">
        <v>0</v>
      </c>
      <c r="M117" s="312">
        <f t="shared" si="18"/>
        <v>0</v>
      </c>
      <c r="N117" s="18">
        <v>0</v>
      </c>
      <c r="O117" s="22">
        <f t="shared" si="22"/>
        <v>0</v>
      </c>
      <c r="P117" s="22">
        <v>0</v>
      </c>
    </row>
    <row r="118" spans="1:16" s="200" customFormat="1" ht="15.75" customHeight="1">
      <c r="A118" s="28"/>
      <c r="B118" s="29" t="s">
        <v>639</v>
      </c>
      <c r="C118" s="27" t="s">
        <v>640</v>
      </c>
      <c r="D118" s="7"/>
      <c r="E118" s="18">
        <v>14454</v>
      </c>
      <c r="F118" s="18">
        <v>0</v>
      </c>
      <c r="G118" s="18">
        <v>761</v>
      </c>
      <c r="H118" s="18">
        <v>11800</v>
      </c>
      <c r="I118" s="18">
        <v>0</v>
      </c>
      <c r="J118" s="18">
        <v>0</v>
      </c>
      <c r="K118" s="7">
        <v>617</v>
      </c>
      <c r="L118" s="7">
        <v>0</v>
      </c>
      <c r="M118" s="312">
        <f t="shared" si="18"/>
        <v>0</v>
      </c>
      <c r="N118" s="18">
        <v>0</v>
      </c>
      <c r="O118" s="22">
        <f t="shared" si="22"/>
        <v>0</v>
      </c>
      <c r="P118" s="22">
        <v>0</v>
      </c>
    </row>
    <row r="119" spans="1:16" s="200" customFormat="1" ht="16.5" customHeight="1">
      <c r="A119" s="28"/>
      <c r="B119" s="29" t="s">
        <v>641</v>
      </c>
      <c r="C119" s="27" t="s">
        <v>642</v>
      </c>
      <c r="D119" s="7"/>
      <c r="E119" s="18">
        <v>40505</v>
      </c>
      <c r="F119" s="18">
        <v>0</v>
      </c>
      <c r="G119" s="18">
        <v>0</v>
      </c>
      <c r="H119" s="18">
        <v>29427</v>
      </c>
      <c r="I119" s="18">
        <v>0</v>
      </c>
      <c r="J119" s="18">
        <v>0</v>
      </c>
      <c r="K119" s="7">
        <v>32363</v>
      </c>
      <c r="L119" s="7">
        <v>16363</v>
      </c>
      <c r="M119" s="312">
        <f t="shared" si="18"/>
        <v>0.505608256342119</v>
      </c>
      <c r="N119" s="18">
        <v>0</v>
      </c>
      <c r="O119" s="22">
        <f t="shared" si="22"/>
        <v>16363</v>
      </c>
      <c r="P119" s="22">
        <v>0</v>
      </c>
    </row>
    <row r="120" spans="1:16" s="200" customFormat="1" ht="15.75" customHeight="1">
      <c r="A120" s="15"/>
      <c r="B120" s="30" t="s">
        <v>657</v>
      </c>
      <c r="C120" s="27" t="s">
        <v>658</v>
      </c>
      <c r="D120" s="7">
        <v>41000</v>
      </c>
      <c r="E120" s="18">
        <v>17600</v>
      </c>
      <c r="F120" s="18">
        <v>0</v>
      </c>
      <c r="G120" s="18">
        <v>0</v>
      </c>
      <c r="H120" s="18">
        <v>153</v>
      </c>
      <c r="I120" s="18">
        <v>0</v>
      </c>
      <c r="J120" s="18">
        <v>0</v>
      </c>
      <c r="K120" s="7">
        <v>250</v>
      </c>
      <c r="L120" s="7">
        <v>184</v>
      </c>
      <c r="M120" s="312">
        <f t="shared" si="18"/>
        <v>0.736</v>
      </c>
      <c r="N120" s="18">
        <v>0</v>
      </c>
      <c r="O120" s="22">
        <f t="shared" si="22"/>
        <v>184</v>
      </c>
      <c r="P120" s="22">
        <v>0</v>
      </c>
    </row>
    <row r="121" spans="1:16" s="200" customFormat="1" ht="13.5" customHeight="1">
      <c r="A121" s="15"/>
      <c r="B121" s="30" t="s">
        <v>492</v>
      </c>
      <c r="C121" s="27" t="s">
        <v>319</v>
      </c>
      <c r="D121" s="7"/>
      <c r="E121" s="18"/>
      <c r="F121" s="18"/>
      <c r="G121" s="18"/>
      <c r="H121" s="18">
        <v>500</v>
      </c>
      <c r="I121" s="18">
        <v>0</v>
      </c>
      <c r="J121" s="18">
        <v>0</v>
      </c>
      <c r="K121" s="7">
        <v>2000</v>
      </c>
      <c r="L121" s="7">
        <v>0</v>
      </c>
      <c r="M121" s="312">
        <f t="shared" si="18"/>
        <v>0</v>
      </c>
      <c r="N121" s="18">
        <v>0</v>
      </c>
      <c r="O121" s="22">
        <f t="shared" si="22"/>
        <v>0</v>
      </c>
      <c r="P121" s="22">
        <v>0</v>
      </c>
    </row>
    <row r="122" spans="1:16" s="200" customFormat="1" ht="13.5" customHeight="1">
      <c r="A122" s="15"/>
      <c r="B122" s="30" t="s">
        <v>681</v>
      </c>
      <c r="C122" s="27" t="s">
        <v>610</v>
      </c>
      <c r="D122" s="7"/>
      <c r="E122" s="18"/>
      <c r="F122" s="18"/>
      <c r="G122" s="18"/>
      <c r="H122" s="18"/>
      <c r="I122" s="18"/>
      <c r="J122" s="18"/>
      <c r="K122" s="7">
        <v>10000</v>
      </c>
      <c r="L122" s="7">
        <v>2502</v>
      </c>
      <c r="M122" s="312">
        <f t="shared" si="18"/>
        <v>0.2502</v>
      </c>
      <c r="N122" s="18">
        <v>0</v>
      </c>
      <c r="O122" s="22">
        <v>0</v>
      </c>
      <c r="P122" s="22">
        <f>L122-N122-O122</f>
        <v>2502</v>
      </c>
    </row>
    <row r="123" spans="1:16" s="200" customFormat="1" ht="43.5" customHeight="1">
      <c r="A123" s="28"/>
      <c r="B123" s="29" t="s">
        <v>441</v>
      </c>
      <c r="C123" s="137" t="s">
        <v>442</v>
      </c>
      <c r="D123" s="7"/>
      <c r="E123" s="18"/>
      <c r="F123" s="18"/>
      <c r="G123" s="18"/>
      <c r="H123" s="18"/>
      <c r="I123" s="18"/>
      <c r="J123" s="18"/>
      <c r="K123" s="7">
        <v>42000</v>
      </c>
      <c r="L123" s="7">
        <v>0</v>
      </c>
      <c r="M123" s="312">
        <f t="shared" si="18"/>
        <v>0</v>
      </c>
      <c r="N123" s="18">
        <v>0</v>
      </c>
      <c r="O123" s="22">
        <f t="shared" si="22"/>
        <v>0</v>
      </c>
      <c r="P123" s="22">
        <f>L123-N123-O123</f>
        <v>0</v>
      </c>
    </row>
    <row r="124" spans="1:16" s="200" customFormat="1" ht="15" customHeight="1">
      <c r="A124" s="213" t="s">
        <v>688</v>
      </c>
      <c r="B124" s="226"/>
      <c r="C124" s="214" t="s">
        <v>689</v>
      </c>
      <c r="D124" s="186">
        <f>D126</f>
        <v>22000</v>
      </c>
      <c r="E124" s="186" t="e">
        <f>E126+E127+#REF!+E129+E130+E131</f>
        <v>#REF!</v>
      </c>
      <c r="F124" s="186" t="e">
        <f>F126+F127+#REF!+F129+F130+F131</f>
        <v>#REF!</v>
      </c>
      <c r="G124" s="186" t="e">
        <f>G126+G127+#REF!+G129+G130+G131</f>
        <v>#REF!</v>
      </c>
      <c r="H124" s="186">
        <f>H125+H126+H127+H129+H130+H131</f>
        <v>14177</v>
      </c>
      <c r="I124" s="186">
        <f>I125+I126+I127+I129+I130+I131</f>
        <v>0</v>
      </c>
      <c r="J124" s="186">
        <f>J125+J126+J127+J129+J130+J131</f>
        <v>0</v>
      </c>
      <c r="K124" s="186">
        <f>K125+K126+K127+K128+K129+K130+K131</f>
        <v>13000</v>
      </c>
      <c r="L124" s="186">
        <f>L125+L126+L127+L128+L129+L130+L131</f>
        <v>13000</v>
      </c>
      <c r="M124" s="185">
        <f t="shared" si="18"/>
        <v>1</v>
      </c>
      <c r="N124" s="186">
        <f>N126+N127+N128+N129+N130+N131+N125</f>
        <v>13000</v>
      </c>
      <c r="O124" s="182">
        <f>O125+O126+O127+O128+O129+O130+O131</f>
        <v>0</v>
      </c>
      <c r="P124" s="182">
        <f>P125+P126+P127+P128+P129+P130+P131</f>
        <v>0</v>
      </c>
    </row>
    <row r="125" spans="1:16" s="200" customFormat="1" ht="16.5" customHeight="1">
      <c r="A125" s="15"/>
      <c r="B125" s="29" t="s">
        <v>617</v>
      </c>
      <c r="C125" s="27" t="s">
        <v>685</v>
      </c>
      <c r="D125" s="18"/>
      <c r="E125" s="18"/>
      <c r="F125" s="18"/>
      <c r="G125" s="18"/>
      <c r="H125" s="18">
        <v>5842</v>
      </c>
      <c r="I125" s="18">
        <v>0</v>
      </c>
      <c r="J125" s="18">
        <v>0</v>
      </c>
      <c r="K125" s="7">
        <v>5330</v>
      </c>
      <c r="L125" s="7">
        <v>5330</v>
      </c>
      <c r="M125" s="312">
        <f t="shared" si="18"/>
        <v>1</v>
      </c>
      <c r="N125" s="18">
        <f>L125</f>
        <v>5330</v>
      </c>
      <c r="O125" s="19">
        <v>0</v>
      </c>
      <c r="P125" s="19">
        <v>0</v>
      </c>
    </row>
    <row r="126" spans="1:16" s="200" customFormat="1" ht="15.75" customHeight="1">
      <c r="A126" s="28"/>
      <c r="B126" s="29" t="s">
        <v>652</v>
      </c>
      <c r="C126" s="27" t="s">
        <v>690</v>
      </c>
      <c r="D126" s="7">
        <v>22000</v>
      </c>
      <c r="E126" s="18">
        <v>963</v>
      </c>
      <c r="F126" s="18">
        <v>0</v>
      </c>
      <c r="G126" s="18">
        <v>0</v>
      </c>
      <c r="H126" s="18">
        <v>465</v>
      </c>
      <c r="I126" s="18">
        <v>0</v>
      </c>
      <c r="J126" s="18">
        <v>0</v>
      </c>
      <c r="K126" s="7">
        <v>775</v>
      </c>
      <c r="L126" s="7">
        <v>775</v>
      </c>
      <c r="M126" s="312">
        <f t="shared" si="18"/>
        <v>1</v>
      </c>
      <c r="N126" s="18">
        <f aca="true" t="shared" si="23" ref="N126:N131">L126</f>
        <v>775</v>
      </c>
      <c r="O126" s="22">
        <v>0</v>
      </c>
      <c r="P126" s="22">
        <v>0</v>
      </c>
    </row>
    <row r="127" spans="1:16" s="200" customFormat="1" ht="15.75" customHeight="1">
      <c r="A127" s="28"/>
      <c r="B127" s="29" t="s">
        <v>627</v>
      </c>
      <c r="C127" s="27" t="s">
        <v>628</v>
      </c>
      <c r="D127" s="7"/>
      <c r="E127" s="18">
        <v>132</v>
      </c>
      <c r="F127" s="18">
        <v>0</v>
      </c>
      <c r="G127" s="18">
        <v>0</v>
      </c>
      <c r="H127" s="18">
        <v>66</v>
      </c>
      <c r="I127" s="18">
        <v>0</v>
      </c>
      <c r="J127" s="18">
        <v>0</v>
      </c>
      <c r="K127" s="7">
        <v>110</v>
      </c>
      <c r="L127" s="7">
        <v>110</v>
      </c>
      <c r="M127" s="312">
        <f t="shared" si="18"/>
        <v>1</v>
      </c>
      <c r="N127" s="18">
        <f t="shared" si="23"/>
        <v>110</v>
      </c>
      <c r="O127" s="22">
        <v>0</v>
      </c>
      <c r="P127" s="22">
        <v>0</v>
      </c>
    </row>
    <row r="128" spans="1:16" s="200" customFormat="1" ht="15.75" customHeight="1">
      <c r="A128" s="28"/>
      <c r="B128" s="29" t="s">
        <v>470</v>
      </c>
      <c r="C128" s="27" t="s">
        <v>483</v>
      </c>
      <c r="D128" s="7"/>
      <c r="E128" s="18"/>
      <c r="F128" s="18"/>
      <c r="G128" s="18"/>
      <c r="H128" s="18"/>
      <c r="I128" s="18"/>
      <c r="J128" s="18"/>
      <c r="K128" s="7">
        <v>5400</v>
      </c>
      <c r="L128" s="7">
        <v>5400</v>
      </c>
      <c r="M128" s="312">
        <f t="shared" si="18"/>
        <v>1</v>
      </c>
      <c r="N128" s="18">
        <f t="shared" si="23"/>
        <v>5400</v>
      </c>
      <c r="O128" s="22">
        <v>0</v>
      </c>
      <c r="P128" s="22">
        <v>0</v>
      </c>
    </row>
    <row r="129" spans="1:16" s="200" customFormat="1" ht="16.5" customHeight="1">
      <c r="A129" s="28"/>
      <c r="B129" s="29" t="s">
        <v>629</v>
      </c>
      <c r="C129" s="27" t="s">
        <v>656</v>
      </c>
      <c r="D129" s="7"/>
      <c r="E129" s="18">
        <v>6208</v>
      </c>
      <c r="F129" s="18">
        <v>0</v>
      </c>
      <c r="G129" s="18">
        <v>0</v>
      </c>
      <c r="H129" s="18">
        <v>3642</v>
      </c>
      <c r="I129" s="18">
        <v>0</v>
      </c>
      <c r="J129" s="18">
        <v>0</v>
      </c>
      <c r="K129" s="7">
        <v>687</v>
      </c>
      <c r="L129" s="7">
        <v>687</v>
      </c>
      <c r="M129" s="312">
        <f t="shared" si="18"/>
        <v>1</v>
      </c>
      <c r="N129" s="18">
        <f t="shared" si="23"/>
        <v>687</v>
      </c>
      <c r="O129" s="22">
        <v>0</v>
      </c>
      <c r="P129" s="22">
        <v>0</v>
      </c>
    </row>
    <row r="130" spans="1:16" s="200" customFormat="1" ht="15.75" customHeight="1">
      <c r="A130" s="28"/>
      <c r="B130" s="29" t="s">
        <v>635</v>
      </c>
      <c r="C130" s="27" t="s">
        <v>636</v>
      </c>
      <c r="D130" s="7"/>
      <c r="E130" s="18">
        <v>2165</v>
      </c>
      <c r="F130" s="18">
        <v>0</v>
      </c>
      <c r="G130" s="18">
        <v>0</v>
      </c>
      <c r="H130" s="18">
        <v>3948</v>
      </c>
      <c r="I130" s="18">
        <v>0</v>
      </c>
      <c r="J130" s="18">
        <v>0</v>
      </c>
      <c r="K130" s="7">
        <v>450</v>
      </c>
      <c r="L130" s="7">
        <v>450</v>
      </c>
      <c r="M130" s="312">
        <f t="shared" si="18"/>
        <v>1</v>
      </c>
      <c r="N130" s="18">
        <f t="shared" si="23"/>
        <v>450</v>
      </c>
      <c r="O130" s="22">
        <v>0</v>
      </c>
      <c r="P130" s="22">
        <v>0</v>
      </c>
    </row>
    <row r="131" spans="1:16" s="200" customFormat="1" ht="15.75" customHeight="1">
      <c r="A131" s="28"/>
      <c r="B131" s="29" t="s">
        <v>637</v>
      </c>
      <c r="C131" s="27" t="s">
        <v>638</v>
      </c>
      <c r="D131" s="7"/>
      <c r="E131" s="18">
        <v>393</v>
      </c>
      <c r="F131" s="18">
        <v>0</v>
      </c>
      <c r="G131" s="18">
        <v>0</v>
      </c>
      <c r="H131" s="18">
        <v>214</v>
      </c>
      <c r="I131" s="18">
        <v>0</v>
      </c>
      <c r="J131" s="18">
        <v>0</v>
      </c>
      <c r="K131" s="7">
        <v>248</v>
      </c>
      <c r="L131" s="7">
        <v>248</v>
      </c>
      <c r="M131" s="312">
        <f t="shared" si="18"/>
        <v>1</v>
      </c>
      <c r="N131" s="18">
        <f t="shared" si="23"/>
        <v>248</v>
      </c>
      <c r="O131" s="22">
        <v>0</v>
      </c>
      <c r="P131" s="22">
        <v>0</v>
      </c>
    </row>
    <row r="132" spans="1:16" s="199" customFormat="1" ht="24.75" customHeight="1">
      <c r="A132" s="213" t="s">
        <v>159</v>
      </c>
      <c r="B132" s="226"/>
      <c r="C132" s="214" t="s">
        <v>160</v>
      </c>
      <c r="D132" s="186"/>
      <c r="E132" s="186"/>
      <c r="F132" s="186"/>
      <c r="G132" s="186"/>
      <c r="H132" s="186"/>
      <c r="I132" s="186"/>
      <c r="J132" s="186"/>
      <c r="K132" s="186">
        <f aca="true" t="shared" si="24" ref="K132:P132">SUM(K133:K136)</f>
        <v>13000</v>
      </c>
      <c r="L132" s="186">
        <f t="shared" si="24"/>
        <v>450</v>
      </c>
      <c r="M132" s="185">
        <f t="shared" si="18"/>
        <v>0.03461538461538462</v>
      </c>
      <c r="N132" s="186">
        <f t="shared" si="24"/>
        <v>0</v>
      </c>
      <c r="O132" s="186">
        <f t="shared" si="24"/>
        <v>450</v>
      </c>
      <c r="P132" s="186">
        <f t="shared" si="24"/>
        <v>0</v>
      </c>
    </row>
    <row r="133" spans="1:16" s="200" customFormat="1" ht="19.5" customHeight="1">
      <c r="A133" s="28"/>
      <c r="B133" s="29" t="s">
        <v>681</v>
      </c>
      <c r="C133" s="27" t="s">
        <v>161</v>
      </c>
      <c r="D133" s="7"/>
      <c r="E133" s="18"/>
      <c r="F133" s="18"/>
      <c r="G133" s="18"/>
      <c r="H133" s="18"/>
      <c r="I133" s="18"/>
      <c r="J133" s="18"/>
      <c r="K133" s="7">
        <v>0</v>
      </c>
      <c r="L133" s="7">
        <v>0</v>
      </c>
      <c r="M133" s="312">
        <v>0</v>
      </c>
      <c r="N133" s="18">
        <v>0</v>
      </c>
      <c r="O133" s="22">
        <v>0</v>
      </c>
      <c r="P133" s="22">
        <f>L133-N133-O133</f>
        <v>0</v>
      </c>
    </row>
    <row r="134" spans="1:16" s="200" customFormat="1" ht="18" customHeight="1">
      <c r="A134" s="28"/>
      <c r="B134" s="29" t="s">
        <v>470</v>
      </c>
      <c r="C134" s="27" t="s">
        <v>162</v>
      </c>
      <c r="D134" s="7"/>
      <c r="E134" s="18"/>
      <c r="F134" s="18"/>
      <c r="G134" s="18"/>
      <c r="H134" s="18"/>
      <c r="I134" s="18"/>
      <c r="J134" s="18"/>
      <c r="K134" s="7">
        <v>1800</v>
      </c>
      <c r="L134" s="7">
        <v>450</v>
      </c>
      <c r="M134" s="312">
        <f t="shared" si="18"/>
        <v>0.25</v>
      </c>
      <c r="N134" s="18">
        <v>0</v>
      </c>
      <c r="O134" s="22">
        <f>L134</f>
        <v>450</v>
      </c>
      <c r="P134" s="22">
        <v>0</v>
      </c>
    </row>
    <row r="135" spans="1:16" s="200" customFormat="1" ht="18.75" customHeight="1">
      <c r="A135" s="28"/>
      <c r="B135" s="29" t="s">
        <v>629</v>
      </c>
      <c r="C135" s="27" t="s">
        <v>630</v>
      </c>
      <c r="D135" s="7"/>
      <c r="E135" s="18"/>
      <c r="F135" s="18"/>
      <c r="G135" s="18"/>
      <c r="H135" s="18"/>
      <c r="I135" s="18"/>
      <c r="J135" s="18"/>
      <c r="K135" s="7">
        <v>4000</v>
      </c>
      <c r="L135" s="7">
        <v>0</v>
      </c>
      <c r="M135" s="312">
        <f t="shared" si="18"/>
        <v>0</v>
      </c>
      <c r="N135" s="18">
        <v>0</v>
      </c>
      <c r="O135" s="22">
        <f>L135</f>
        <v>0</v>
      </c>
      <c r="P135" s="22">
        <v>0</v>
      </c>
    </row>
    <row r="136" spans="1:16" s="200" customFormat="1" ht="18" customHeight="1">
      <c r="A136" s="47"/>
      <c r="B136" s="161" t="s">
        <v>635</v>
      </c>
      <c r="C136" s="93" t="s">
        <v>22</v>
      </c>
      <c r="D136" s="66"/>
      <c r="E136" s="94"/>
      <c r="F136" s="94"/>
      <c r="G136" s="94"/>
      <c r="H136" s="94"/>
      <c r="I136" s="94"/>
      <c r="J136" s="94"/>
      <c r="K136" s="66">
        <v>7200</v>
      </c>
      <c r="L136" s="66">
        <v>0</v>
      </c>
      <c r="M136" s="312">
        <f t="shared" si="18"/>
        <v>0</v>
      </c>
      <c r="N136" s="18">
        <v>0</v>
      </c>
      <c r="O136" s="22">
        <f>L136</f>
        <v>0</v>
      </c>
      <c r="P136" s="43">
        <v>0</v>
      </c>
    </row>
    <row r="137" spans="1:16" s="363" customFormat="1" ht="15" customHeight="1">
      <c r="A137" s="213" t="s">
        <v>691</v>
      </c>
      <c r="B137" s="226"/>
      <c r="C137" s="214" t="s">
        <v>692</v>
      </c>
      <c r="D137" s="186" t="e">
        <f>#REF!</f>
        <v>#REF!</v>
      </c>
      <c r="E137" s="186" t="e">
        <f>#REF!+E141</f>
        <v>#REF!</v>
      </c>
      <c r="F137" s="186" t="e">
        <f>#REF!+F141</f>
        <v>#REF!</v>
      </c>
      <c r="G137" s="186" t="e">
        <f>#REF!+G141</f>
        <v>#REF!</v>
      </c>
      <c r="H137" s="186">
        <f>H139+H141</f>
        <v>8900</v>
      </c>
      <c r="I137" s="186">
        <f>I139+I141</f>
        <v>0</v>
      </c>
      <c r="J137" s="186">
        <f>J139+J141</f>
        <v>0</v>
      </c>
      <c r="K137" s="186">
        <f>SUM(K138:K141)</f>
        <v>15000</v>
      </c>
      <c r="L137" s="186">
        <f>SUM(L138:L141)</f>
        <v>5636</v>
      </c>
      <c r="M137" s="185">
        <f t="shared" si="18"/>
        <v>0.3757333333333333</v>
      </c>
      <c r="N137" s="186"/>
      <c r="O137" s="182">
        <f>O138+O139+O140+O141</f>
        <v>5636</v>
      </c>
      <c r="P137" s="182">
        <f>P139+P138+P140+P141</f>
        <v>0</v>
      </c>
    </row>
    <row r="138" spans="1:16" s="200" customFormat="1" ht="19.5" customHeight="1">
      <c r="A138" s="28"/>
      <c r="B138" s="29" t="s">
        <v>470</v>
      </c>
      <c r="C138" s="27" t="s">
        <v>306</v>
      </c>
      <c r="D138" s="7"/>
      <c r="E138" s="18"/>
      <c r="F138" s="18"/>
      <c r="G138" s="18"/>
      <c r="H138" s="18"/>
      <c r="I138" s="18"/>
      <c r="J138" s="18"/>
      <c r="K138" s="7">
        <v>3000</v>
      </c>
      <c r="L138" s="7">
        <v>3000</v>
      </c>
      <c r="M138" s="312">
        <f t="shared" si="18"/>
        <v>1</v>
      </c>
      <c r="N138" s="18">
        <v>0</v>
      </c>
      <c r="O138" s="22">
        <f>L138</f>
        <v>3000</v>
      </c>
      <c r="P138" s="22">
        <v>0</v>
      </c>
    </row>
    <row r="139" spans="1:16" s="200" customFormat="1" ht="19.5" customHeight="1">
      <c r="A139" s="28"/>
      <c r="B139" s="29" t="s">
        <v>629</v>
      </c>
      <c r="C139" s="27" t="s">
        <v>656</v>
      </c>
      <c r="D139" s="7"/>
      <c r="E139" s="18"/>
      <c r="F139" s="18"/>
      <c r="G139" s="18"/>
      <c r="H139" s="18">
        <v>800</v>
      </c>
      <c r="I139" s="18">
        <v>0</v>
      </c>
      <c r="J139" s="18">
        <v>0</v>
      </c>
      <c r="K139" s="7">
        <v>350</v>
      </c>
      <c r="L139" s="7">
        <v>125</v>
      </c>
      <c r="M139" s="312">
        <f t="shared" si="18"/>
        <v>0.35714285714285715</v>
      </c>
      <c r="N139" s="18">
        <v>0</v>
      </c>
      <c r="O139" s="22">
        <f>L139</f>
        <v>125</v>
      </c>
      <c r="P139" s="22">
        <v>0</v>
      </c>
    </row>
    <row r="140" spans="1:16" s="200" customFormat="1" ht="18.75" customHeight="1">
      <c r="A140" s="28"/>
      <c r="B140" s="29" t="s">
        <v>635</v>
      </c>
      <c r="C140" s="27" t="s">
        <v>636</v>
      </c>
      <c r="D140" s="7"/>
      <c r="E140" s="18"/>
      <c r="F140" s="18"/>
      <c r="G140" s="18"/>
      <c r="H140" s="18"/>
      <c r="I140" s="18"/>
      <c r="J140" s="18"/>
      <c r="K140" s="7">
        <v>768</v>
      </c>
      <c r="L140" s="7">
        <v>659</v>
      </c>
      <c r="M140" s="312">
        <f t="shared" si="18"/>
        <v>0.8580729166666666</v>
      </c>
      <c r="N140" s="18">
        <v>0</v>
      </c>
      <c r="O140" s="22">
        <f>L140</f>
        <v>659</v>
      </c>
      <c r="P140" s="22">
        <v>0</v>
      </c>
    </row>
    <row r="141" spans="1:16" s="200" customFormat="1" ht="21" customHeight="1">
      <c r="A141" s="28"/>
      <c r="B141" s="29" t="s">
        <v>639</v>
      </c>
      <c r="C141" s="27" t="s">
        <v>80</v>
      </c>
      <c r="D141" s="7"/>
      <c r="E141" s="18">
        <v>7000</v>
      </c>
      <c r="F141" s="18">
        <v>0</v>
      </c>
      <c r="G141" s="18">
        <v>0</v>
      </c>
      <c r="H141" s="18">
        <v>8100</v>
      </c>
      <c r="I141" s="18">
        <v>0</v>
      </c>
      <c r="J141" s="18">
        <v>0</v>
      </c>
      <c r="K141" s="7">
        <v>10882</v>
      </c>
      <c r="L141" s="7">
        <v>1852</v>
      </c>
      <c r="M141" s="312">
        <f t="shared" si="18"/>
        <v>0.17018930343686822</v>
      </c>
      <c r="N141" s="18">
        <v>0</v>
      </c>
      <c r="O141" s="22">
        <f>L141</f>
        <v>1852</v>
      </c>
      <c r="P141" s="22">
        <v>0</v>
      </c>
    </row>
    <row r="142" spans="1:16" s="200" customFormat="1" ht="27" customHeight="1">
      <c r="A142" s="190" t="s">
        <v>693</v>
      </c>
      <c r="B142" s="194"/>
      <c r="C142" s="196" t="s">
        <v>694</v>
      </c>
      <c r="D142" s="191" t="e">
        <f>#REF!+D143</f>
        <v>#REF!</v>
      </c>
      <c r="E142" s="191" t="e">
        <f>#REF!+E143</f>
        <v>#REF!</v>
      </c>
      <c r="F142" s="191" t="e">
        <f>#REF!+F143</f>
        <v>#REF!</v>
      </c>
      <c r="G142" s="191" t="e">
        <f>#REF!+G143</f>
        <v>#REF!</v>
      </c>
      <c r="H142" s="191" t="e">
        <f>#REF!+H143</f>
        <v>#REF!</v>
      </c>
      <c r="I142" s="191" t="e">
        <f>#REF!+I143</f>
        <v>#REF!</v>
      </c>
      <c r="J142" s="191" t="e">
        <f>#REF!+J143</f>
        <v>#REF!</v>
      </c>
      <c r="K142" s="191">
        <f aca="true" t="shared" si="25" ref="K142:P142">+K143+K165</f>
        <v>2310000</v>
      </c>
      <c r="L142" s="191">
        <f t="shared" si="25"/>
        <v>509309</v>
      </c>
      <c r="M142" s="405">
        <f t="shared" si="18"/>
        <v>0.22048008658008658</v>
      </c>
      <c r="N142" s="191">
        <f t="shared" si="25"/>
        <v>509309</v>
      </c>
      <c r="O142" s="191">
        <f t="shared" si="25"/>
        <v>0</v>
      </c>
      <c r="P142" s="191">
        <f t="shared" si="25"/>
        <v>0</v>
      </c>
    </row>
    <row r="143" spans="1:16" s="200" customFormat="1" ht="33" customHeight="1">
      <c r="A143" s="213" t="s">
        <v>23</v>
      </c>
      <c r="B143" s="226"/>
      <c r="C143" s="214" t="s">
        <v>24</v>
      </c>
      <c r="D143" s="186" t="e">
        <f>D145+D146+D147+D148+D149+#REF!+D150+D151</f>
        <v>#REF!</v>
      </c>
      <c r="E143" s="186" t="e">
        <f>E145+E146+E147+E148+E149+#REF!+E150+E151+#REF!+E153+E154+E155+E156+E158+E159+E160+#REF!+E161+E162+#REF!+#REF!</f>
        <v>#REF!</v>
      </c>
      <c r="F143" s="186" t="e">
        <f>F145+F146+F147+F148+F149+#REF!+F150+F151+#REF!+F153+F155+F156+F158+F159+#REF!+F161+F162+#REF!+#REF!</f>
        <v>#REF!</v>
      </c>
      <c r="G143" s="186" t="e">
        <f>G145+G146+G147+G148+G149+#REF!+G150+G151+#REF!+G153+G155+G156+G158+G159+#REF!+G161+G162+#REF!+#REF!</f>
        <v>#REF!</v>
      </c>
      <c r="H143" s="186" t="e">
        <f>H145+H146+H147+H148+H149+#REF!+H150+H151+#REF!+H153+H154+H155+H156+H158+H159+H160+H161+#REF!+H162+#REF!</f>
        <v>#REF!</v>
      </c>
      <c r="I143" s="186" t="e">
        <f>I145+I146+I147+I148+I149+#REF!+I150+I151+#REF!+I153+I154+I155+I156+I158+I159+I160+I161+#REF!+I162+#REF!</f>
        <v>#REF!</v>
      </c>
      <c r="J143" s="186" t="e">
        <f>J145+J146+J147+J148+J149+#REF!+J150+J151+#REF!+J153+J154+J155+J156+J158+J159+J160+J161+#REF!+J162+#REF!</f>
        <v>#REF!</v>
      </c>
      <c r="K143" s="186">
        <f>K145+K146+K147+K148+K149+K150+K151+K144+K152+K153+K154+K155+K156+K158+K159+K160+K161+K162+K163+K157+K164</f>
        <v>2307000</v>
      </c>
      <c r="L143" s="186">
        <f>L145+L146+L147+L148+L149+L150+L151+L144+L152+L153+L154+L155+L156+L158+L159+L160+L161+L162+L163+L157+L164</f>
        <v>509309</v>
      </c>
      <c r="M143" s="185">
        <f t="shared" si="18"/>
        <v>0.22076679670567836</v>
      </c>
      <c r="N143" s="186">
        <f>N145+N146+N147+N148+N149+N150+N151+N144+N152+N153+N154+N155+N156+N158+N159+N160+N161+N162+N163+N157</f>
        <v>509309</v>
      </c>
      <c r="O143" s="186">
        <f>O145+O146+O147+O148+O149+O150+O151+O144+O152+O153+O154+O155+O156+O158+O159+O160+O161+O162+O163+O157+O164</f>
        <v>0</v>
      </c>
      <c r="P143" s="186">
        <f>P145+P146+P147+P148+P149+P150+P151+P144+P152+P153+P154+P155+P156+P158+P159+P160+P161+P162+P163+P157</f>
        <v>0</v>
      </c>
    </row>
    <row r="144" spans="1:16" s="200" customFormat="1" ht="15.75" customHeight="1">
      <c r="A144" s="28"/>
      <c r="B144" s="29" t="s">
        <v>307</v>
      </c>
      <c r="C144" s="27" t="s">
        <v>308</v>
      </c>
      <c r="D144" s="7"/>
      <c r="E144" s="18"/>
      <c r="F144" s="18"/>
      <c r="G144" s="18"/>
      <c r="H144" s="18"/>
      <c r="I144" s="18"/>
      <c r="J144" s="18"/>
      <c r="K144" s="7">
        <v>149000</v>
      </c>
      <c r="L144" s="7">
        <v>35390</v>
      </c>
      <c r="M144" s="312">
        <f t="shared" si="18"/>
        <v>0.23751677852348993</v>
      </c>
      <c r="N144" s="18">
        <f>L144</f>
        <v>35390</v>
      </c>
      <c r="O144" s="22">
        <v>0</v>
      </c>
      <c r="P144" s="22">
        <v>0</v>
      </c>
    </row>
    <row r="145" spans="1:16" s="200" customFormat="1" ht="15.75" customHeight="1">
      <c r="A145" s="28"/>
      <c r="B145" s="29" t="s">
        <v>621</v>
      </c>
      <c r="C145" s="27" t="s">
        <v>320</v>
      </c>
      <c r="D145" s="7">
        <v>15218</v>
      </c>
      <c r="E145" s="18">
        <v>14500</v>
      </c>
      <c r="F145" s="18">
        <v>1000</v>
      </c>
      <c r="G145" s="18">
        <v>0</v>
      </c>
      <c r="H145" s="18">
        <v>17000</v>
      </c>
      <c r="I145" s="18">
        <v>0</v>
      </c>
      <c r="J145" s="18">
        <v>0</v>
      </c>
      <c r="K145" s="7">
        <v>19000</v>
      </c>
      <c r="L145" s="7">
        <v>4757</v>
      </c>
      <c r="M145" s="312">
        <f t="shared" si="18"/>
        <v>0.2503684210526316</v>
      </c>
      <c r="N145" s="18">
        <f aca="true" t="shared" si="26" ref="N145:N164">L145</f>
        <v>4757</v>
      </c>
      <c r="O145" s="22">
        <v>0</v>
      </c>
      <c r="P145" s="22">
        <v>0</v>
      </c>
    </row>
    <row r="146" spans="1:16" s="200" customFormat="1" ht="15.75" customHeight="1">
      <c r="A146" s="28"/>
      <c r="B146" s="29" t="s">
        <v>623</v>
      </c>
      <c r="C146" s="27" t="s">
        <v>624</v>
      </c>
      <c r="D146" s="7">
        <v>782</v>
      </c>
      <c r="E146" s="18">
        <v>1200</v>
      </c>
      <c r="F146" s="18">
        <v>0</v>
      </c>
      <c r="G146" s="18">
        <v>14</v>
      </c>
      <c r="H146" s="18">
        <v>1415</v>
      </c>
      <c r="I146" s="18">
        <v>0</v>
      </c>
      <c r="J146" s="18">
        <v>0</v>
      </c>
      <c r="K146" s="7">
        <v>2000</v>
      </c>
      <c r="L146" s="7">
        <v>1557</v>
      </c>
      <c r="M146" s="312">
        <f t="shared" si="18"/>
        <v>0.7785</v>
      </c>
      <c r="N146" s="18">
        <f t="shared" si="26"/>
        <v>1557</v>
      </c>
      <c r="O146" s="22">
        <v>0</v>
      </c>
      <c r="P146" s="22">
        <v>0</v>
      </c>
    </row>
    <row r="147" spans="1:16" s="200" customFormat="1" ht="24" customHeight="1">
      <c r="A147" s="28"/>
      <c r="B147" s="29" t="s">
        <v>9</v>
      </c>
      <c r="C147" s="27" t="s">
        <v>10</v>
      </c>
      <c r="D147" s="7">
        <v>1635532</v>
      </c>
      <c r="E147" s="18">
        <v>1917450</v>
      </c>
      <c r="F147" s="18">
        <v>0</v>
      </c>
      <c r="G147" s="18">
        <v>0</v>
      </c>
      <c r="H147" s="18">
        <v>1149573</v>
      </c>
      <c r="I147" s="18">
        <v>0</v>
      </c>
      <c r="J147" s="18">
        <v>0</v>
      </c>
      <c r="K147" s="7">
        <v>1438000</v>
      </c>
      <c r="L147" s="7">
        <v>293199</v>
      </c>
      <c r="M147" s="312">
        <f t="shared" si="18"/>
        <v>0.20389360222531294</v>
      </c>
      <c r="N147" s="18">
        <f t="shared" si="26"/>
        <v>293199</v>
      </c>
      <c r="O147" s="22">
        <v>0</v>
      </c>
      <c r="P147" s="22">
        <v>0</v>
      </c>
    </row>
    <row r="148" spans="1:16" s="200" customFormat="1" ht="15" customHeight="1">
      <c r="A148" s="28"/>
      <c r="B148" s="29" t="s">
        <v>11</v>
      </c>
      <c r="C148" s="27" t="s">
        <v>12</v>
      </c>
      <c r="D148" s="7">
        <v>15859</v>
      </c>
      <c r="E148" s="18">
        <v>46700</v>
      </c>
      <c r="F148" s="18">
        <v>0</v>
      </c>
      <c r="G148" s="18">
        <v>0</v>
      </c>
      <c r="H148" s="18">
        <v>5200</v>
      </c>
      <c r="I148" s="18">
        <v>0</v>
      </c>
      <c r="J148" s="18">
        <v>0</v>
      </c>
      <c r="K148" s="7">
        <v>148000</v>
      </c>
      <c r="L148" s="7">
        <v>2964</v>
      </c>
      <c r="M148" s="312">
        <f t="shared" si="18"/>
        <v>0.020027027027027026</v>
      </c>
      <c r="N148" s="18">
        <f t="shared" si="26"/>
        <v>2964</v>
      </c>
      <c r="O148" s="22">
        <v>0</v>
      </c>
      <c r="P148" s="22">
        <v>0</v>
      </c>
    </row>
    <row r="149" spans="1:16" s="200" customFormat="1" ht="15.75" customHeight="1">
      <c r="A149" s="28"/>
      <c r="B149" s="29" t="s">
        <v>13</v>
      </c>
      <c r="C149" s="27" t="s">
        <v>14</v>
      </c>
      <c r="D149" s="7">
        <v>96233</v>
      </c>
      <c r="E149" s="18">
        <v>146640</v>
      </c>
      <c r="F149" s="18">
        <v>0</v>
      </c>
      <c r="G149" s="18">
        <v>15640</v>
      </c>
      <c r="H149" s="18">
        <v>86500</v>
      </c>
      <c r="I149" s="18">
        <v>0</v>
      </c>
      <c r="J149" s="18">
        <v>0</v>
      </c>
      <c r="K149" s="7">
        <v>121000</v>
      </c>
      <c r="L149" s="7">
        <v>96976</v>
      </c>
      <c r="M149" s="312">
        <f t="shared" si="18"/>
        <v>0.8014545454545454</v>
      </c>
      <c r="N149" s="18">
        <f t="shared" si="26"/>
        <v>96976</v>
      </c>
      <c r="O149" s="22">
        <v>0</v>
      </c>
      <c r="P149" s="22">
        <v>0</v>
      </c>
    </row>
    <row r="150" spans="1:16" s="200" customFormat="1" ht="18" customHeight="1">
      <c r="A150" s="28"/>
      <c r="B150" s="30" t="s">
        <v>675</v>
      </c>
      <c r="C150" s="27" t="s">
        <v>690</v>
      </c>
      <c r="D150" s="7">
        <v>39438</v>
      </c>
      <c r="E150" s="18">
        <v>71560</v>
      </c>
      <c r="F150" s="18">
        <v>0</v>
      </c>
      <c r="G150" s="18">
        <v>26000</v>
      </c>
      <c r="H150" s="18">
        <v>38000</v>
      </c>
      <c r="I150" s="18">
        <v>0</v>
      </c>
      <c r="J150" s="18">
        <v>0</v>
      </c>
      <c r="K150" s="7">
        <v>3500</v>
      </c>
      <c r="L150" s="7">
        <v>1148</v>
      </c>
      <c r="M150" s="312">
        <f t="shared" si="18"/>
        <v>0.328</v>
      </c>
      <c r="N150" s="18">
        <f t="shared" si="26"/>
        <v>1148</v>
      </c>
      <c r="O150" s="22">
        <v>0</v>
      </c>
      <c r="P150" s="22">
        <v>0</v>
      </c>
    </row>
    <row r="151" spans="1:16" s="200" customFormat="1" ht="15.75" customHeight="1">
      <c r="A151" s="28"/>
      <c r="B151" s="29" t="s">
        <v>627</v>
      </c>
      <c r="C151" s="27" t="s">
        <v>628</v>
      </c>
      <c r="D151" s="7">
        <v>843962</v>
      </c>
      <c r="E151" s="18">
        <v>12030</v>
      </c>
      <c r="F151" s="18">
        <v>0</v>
      </c>
      <c r="G151" s="18">
        <v>5000</v>
      </c>
      <c r="H151" s="18">
        <v>5410</v>
      </c>
      <c r="I151" s="18">
        <v>0</v>
      </c>
      <c r="J151" s="18">
        <v>0</v>
      </c>
      <c r="K151" s="7">
        <v>500</v>
      </c>
      <c r="L151" s="7">
        <v>155</v>
      </c>
      <c r="M151" s="312">
        <f t="shared" si="18"/>
        <v>0.31</v>
      </c>
      <c r="N151" s="18">
        <f t="shared" si="26"/>
        <v>155</v>
      </c>
      <c r="O151" s="22">
        <v>0</v>
      </c>
      <c r="P151" s="22">
        <v>0</v>
      </c>
    </row>
    <row r="152" spans="1:16" s="200" customFormat="1" ht="15.75" customHeight="1">
      <c r="A152" s="28"/>
      <c r="B152" s="29" t="s">
        <v>309</v>
      </c>
      <c r="C152" s="27" t="s">
        <v>310</v>
      </c>
      <c r="D152" s="7"/>
      <c r="E152" s="18"/>
      <c r="F152" s="18"/>
      <c r="G152" s="18"/>
      <c r="H152" s="18"/>
      <c r="I152" s="18"/>
      <c r="J152" s="18"/>
      <c r="K152" s="7">
        <v>93000</v>
      </c>
      <c r="L152" s="7">
        <v>154</v>
      </c>
      <c r="M152" s="312">
        <f t="shared" si="18"/>
        <v>0.0016559139784946236</v>
      </c>
      <c r="N152" s="18">
        <f t="shared" si="26"/>
        <v>154</v>
      </c>
      <c r="O152" s="22">
        <v>0</v>
      </c>
      <c r="P152" s="22">
        <v>0</v>
      </c>
    </row>
    <row r="153" spans="1:16" s="200" customFormat="1" ht="15.75" customHeight="1">
      <c r="A153" s="28"/>
      <c r="B153" s="29" t="s">
        <v>629</v>
      </c>
      <c r="C153" s="27" t="s">
        <v>630</v>
      </c>
      <c r="D153" s="7"/>
      <c r="E153" s="18">
        <v>296300</v>
      </c>
      <c r="F153" s="18">
        <v>62410</v>
      </c>
      <c r="G153" s="18">
        <v>0</v>
      </c>
      <c r="H153" s="18">
        <v>173952</v>
      </c>
      <c r="I153" s="18">
        <v>0</v>
      </c>
      <c r="J153" s="18">
        <v>0</v>
      </c>
      <c r="K153" s="7">
        <v>196820</v>
      </c>
      <c r="L153" s="7">
        <v>44584</v>
      </c>
      <c r="M153" s="312">
        <f t="shared" si="18"/>
        <v>0.22652169494970023</v>
      </c>
      <c r="N153" s="18">
        <f t="shared" si="26"/>
        <v>44584</v>
      </c>
      <c r="O153" s="22">
        <f>L153-N153</f>
        <v>0</v>
      </c>
      <c r="P153" s="22">
        <v>0</v>
      </c>
    </row>
    <row r="154" spans="1:16" s="200" customFormat="1" ht="16.5" customHeight="1">
      <c r="A154" s="28"/>
      <c r="B154" s="29" t="s">
        <v>18</v>
      </c>
      <c r="C154" s="27" t="s">
        <v>19</v>
      </c>
      <c r="D154" s="7"/>
      <c r="E154" s="18">
        <v>0</v>
      </c>
      <c r="F154" s="18"/>
      <c r="G154" s="18"/>
      <c r="H154" s="18">
        <v>88000</v>
      </c>
      <c r="I154" s="18">
        <v>0</v>
      </c>
      <c r="J154" s="18">
        <v>0</v>
      </c>
      <c r="K154" s="7">
        <v>20000</v>
      </c>
      <c r="L154" s="7">
        <v>0</v>
      </c>
      <c r="M154" s="312">
        <f t="shared" si="18"/>
        <v>0</v>
      </c>
      <c r="N154" s="18">
        <f t="shared" si="26"/>
        <v>0</v>
      </c>
      <c r="O154" s="22">
        <v>0</v>
      </c>
      <c r="P154" s="22">
        <v>0</v>
      </c>
    </row>
    <row r="155" spans="1:16" s="200" customFormat="1" ht="15.75" customHeight="1">
      <c r="A155" s="28"/>
      <c r="B155" s="29" t="s">
        <v>631</v>
      </c>
      <c r="C155" s="27" t="s">
        <v>20</v>
      </c>
      <c r="D155" s="7"/>
      <c r="E155" s="18">
        <v>25000</v>
      </c>
      <c r="F155" s="18">
        <v>0</v>
      </c>
      <c r="G155" s="18">
        <v>5100</v>
      </c>
      <c r="H155" s="18">
        <v>17000</v>
      </c>
      <c r="I155" s="18">
        <v>0</v>
      </c>
      <c r="J155" s="18">
        <v>0</v>
      </c>
      <c r="K155" s="7">
        <v>18000</v>
      </c>
      <c r="L155" s="7">
        <v>4232</v>
      </c>
      <c r="M155" s="312">
        <f t="shared" si="18"/>
        <v>0.2351111111111111</v>
      </c>
      <c r="N155" s="18">
        <f t="shared" si="26"/>
        <v>4232</v>
      </c>
      <c r="O155" s="22">
        <v>0</v>
      </c>
      <c r="P155" s="22">
        <v>0</v>
      </c>
    </row>
    <row r="156" spans="1:16" s="200" customFormat="1" ht="17.25" customHeight="1">
      <c r="A156" s="28"/>
      <c r="B156" s="29" t="s">
        <v>633</v>
      </c>
      <c r="C156" s="27" t="s">
        <v>21</v>
      </c>
      <c r="D156" s="7"/>
      <c r="E156" s="18">
        <v>10000</v>
      </c>
      <c r="F156" s="18">
        <v>5000</v>
      </c>
      <c r="G156" s="18">
        <v>0</v>
      </c>
      <c r="H156" s="18">
        <v>43545</v>
      </c>
      <c r="I156" s="18">
        <v>0</v>
      </c>
      <c r="J156" s="18">
        <v>0</v>
      </c>
      <c r="K156" s="7">
        <v>12000</v>
      </c>
      <c r="L156" s="7">
        <v>3402</v>
      </c>
      <c r="M156" s="312">
        <f t="shared" si="18"/>
        <v>0.2835</v>
      </c>
      <c r="N156" s="18">
        <f t="shared" si="26"/>
        <v>3402</v>
      </c>
      <c r="O156" s="22">
        <v>0</v>
      </c>
      <c r="P156" s="22">
        <v>0</v>
      </c>
    </row>
    <row r="157" spans="1:16" s="200" customFormat="1" ht="17.25" customHeight="1">
      <c r="A157" s="28"/>
      <c r="B157" s="29" t="s">
        <v>697</v>
      </c>
      <c r="C157" s="27" t="s">
        <v>698</v>
      </c>
      <c r="D157" s="7"/>
      <c r="E157" s="18"/>
      <c r="F157" s="18"/>
      <c r="G157" s="18"/>
      <c r="H157" s="18"/>
      <c r="I157" s="18"/>
      <c r="J157" s="18"/>
      <c r="K157" s="7">
        <v>14520</v>
      </c>
      <c r="L157" s="7">
        <v>2345</v>
      </c>
      <c r="M157" s="312">
        <f aca="true" t="shared" si="27" ref="M157:M217">L157/K157</f>
        <v>0.16150137741046833</v>
      </c>
      <c r="N157" s="18">
        <f t="shared" si="26"/>
        <v>2345</v>
      </c>
      <c r="O157" s="22">
        <v>0</v>
      </c>
      <c r="P157" s="22">
        <v>0</v>
      </c>
    </row>
    <row r="158" spans="1:16" s="200" customFormat="1" ht="17.25" customHeight="1">
      <c r="A158" s="28"/>
      <c r="B158" s="29" t="s">
        <v>635</v>
      </c>
      <c r="C158" s="27" t="s">
        <v>22</v>
      </c>
      <c r="D158" s="7"/>
      <c r="E158" s="18">
        <v>58800</v>
      </c>
      <c r="F158" s="18">
        <v>10000</v>
      </c>
      <c r="G158" s="18">
        <v>0</v>
      </c>
      <c r="H158" s="18">
        <v>56000</v>
      </c>
      <c r="I158" s="18">
        <v>0</v>
      </c>
      <c r="J158" s="18">
        <v>0</v>
      </c>
      <c r="K158" s="7">
        <v>45000</v>
      </c>
      <c r="L158" s="7">
        <v>12140</v>
      </c>
      <c r="M158" s="312">
        <f t="shared" si="27"/>
        <v>0.2697777777777778</v>
      </c>
      <c r="N158" s="18">
        <f t="shared" si="26"/>
        <v>12140</v>
      </c>
      <c r="O158" s="22">
        <v>0</v>
      </c>
      <c r="P158" s="22">
        <v>0</v>
      </c>
    </row>
    <row r="159" spans="1:16" s="200" customFormat="1" ht="18" customHeight="1">
      <c r="A159" s="28"/>
      <c r="B159" s="29" t="s">
        <v>637</v>
      </c>
      <c r="C159" s="27" t="s">
        <v>638</v>
      </c>
      <c r="D159" s="7"/>
      <c r="E159" s="18">
        <v>25000</v>
      </c>
      <c r="F159" s="18">
        <v>0</v>
      </c>
      <c r="G159" s="18">
        <v>17000</v>
      </c>
      <c r="H159" s="18">
        <v>8000</v>
      </c>
      <c r="I159" s="18">
        <v>0</v>
      </c>
      <c r="J159" s="18">
        <v>0</v>
      </c>
      <c r="K159" s="7">
        <v>7000</v>
      </c>
      <c r="L159" s="7">
        <v>2162</v>
      </c>
      <c r="M159" s="312">
        <f t="shared" si="27"/>
        <v>0.30885714285714283</v>
      </c>
      <c r="N159" s="18">
        <f t="shared" si="26"/>
        <v>2162</v>
      </c>
      <c r="O159" s="22">
        <v>0</v>
      </c>
      <c r="P159" s="22">
        <v>0</v>
      </c>
    </row>
    <row r="160" spans="1:16" s="200" customFormat="1" ht="18" customHeight="1">
      <c r="A160" s="28"/>
      <c r="B160" s="29" t="s">
        <v>639</v>
      </c>
      <c r="C160" s="27" t="s">
        <v>640</v>
      </c>
      <c r="D160" s="7"/>
      <c r="E160" s="18">
        <v>0</v>
      </c>
      <c r="F160" s="18"/>
      <c r="G160" s="18"/>
      <c r="H160" s="18">
        <v>7000</v>
      </c>
      <c r="I160" s="18">
        <v>0</v>
      </c>
      <c r="J160" s="18">
        <v>0</v>
      </c>
      <c r="K160" s="7">
        <v>8000</v>
      </c>
      <c r="L160" s="7">
        <v>1366</v>
      </c>
      <c r="M160" s="312">
        <f t="shared" si="27"/>
        <v>0.17075</v>
      </c>
      <c r="N160" s="18">
        <f t="shared" si="26"/>
        <v>1366</v>
      </c>
      <c r="O160" s="22">
        <v>0</v>
      </c>
      <c r="P160" s="22">
        <v>0</v>
      </c>
    </row>
    <row r="161" spans="1:16" s="200" customFormat="1" ht="18" customHeight="1">
      <c r="A161" s="28"/>
      <c r="B161" s="29" t="s">
        <v>641</v>
      </c>
      <c r="C161" s="27" t="s">
        <v>642</v>
      </c>
      <c r="D161" s="7"/>
      <c r="E161" s="18">
        <v>2000</v>
      </c>
      <c r="F161" s="18">
        <v>0</v>
      </c>
      <c r="G161" s="18">
        <v>1173</v>
      </c>
      <c r="H161" s="18">
        <v>676</v>
      </c>
      <c r="I161" s="18">
        <v>0</v>
      </c>
      <c r="J161" s="18">
        <v>0</v>
      </c>
      <c r="K161" s="7">
        <v>1000</v>
      </c>
      <c r="L161" s="7">
        <v>0</v>
      </c>
      <c r="M161" s="312">
        <f t="shared" si="27"/>
        <v>0</v>
      </c>
      <c r="N161" s="18">
        <f t="shared" si="26"/>
        <v>0</v>
      </c>
      <c r="O161" s="22">
        <v>0</v>
      </c>
      <c r="P161" s="22">
        <v>0</v>
      </c>
    </row>
    <row r="162" spans="1:16" s="200" customFormat="1" ht="18.75" customHeight="1">
      <c r="A162" s="28"/>
      <c r="B162" s="29" t="s">
        <v>696</v>
      </c>
      <c r="C162" s="27" t="s">
        <v>5</v>
      </c>
      <c r="D162" s="7">
        <v>62500</v>
      </c>
      <c r="E162" s="18">
        <v>160</v>
      </c>
      <c r="F162" s="18">
        <v>0</v>
      </c>
      <c r="G162" s="18">
        <v>0</v>
      </c>
      <c r="H162" s="18">
        <v>160</v>
      </c>
      <c r="I162" s="18">
        <v>0</v>
      </c>
      <c r="J162" s="18">
        <v>0</v>
      </c>
      <c r="K162" s="7">
        <v>10500</v>
      </c>
      <c r="L162" s="7">
        <v>2618</v>
      </c>
      <c r="M162" s="312">
        <f t="shared" si="27"/>
        <v>0.24933333333333332</v>
      </c>
      <c r="N162" s="18">
        <f t="shared" si="26"/>
        <v>2618</v>
      </c>
      <c r="O162" s="22">
        <v>0</v>
      </c>
      <c r="P162" s="22">
        <v>0</v>
      </c>
    </row>
    <row r="163" spans="1:16" s="200" customFormat="1" ht="20.25" customHeight="1">
      <c r="A163" s="28"/>
      <c r="B163" s="29" t="s">
        <v>25</v>
      </c>
      <c r="C163" s="27" t="s">
        <v>314</v>
      </c>
      <c r="D163" s="7"/>
      <c r="E163" s="18"/>
      <c r="F163" s="18"/>
      <c r="G163" s="18"/>
      <c r="H163" s="18"/>
      <c r="I163" s="18"/>
      <c r="J163" s="18"/>
      <c r="K163" s="7">
        <v>160</v>
      </c>
      <c r="L163" s="7">
        <v>160</v>
      </c>
      <c r="M163" s="312">
        <f t="shared" si="27"/>
        <v>1</v>
      </c>
      <c r="N163" s="18">
        <f t="shared" si="26"/>
        <v>160</v>
      </c>
      <c r="O163" s="22">
        <v>0</v>
      </c>
      <c r="P163" s="22">
        <v>0</v>
      </c>
    </row>
    <row r="164" spans="1:16" s="200" customFormat="1" ht="20.25" customHeight="1">
      <c r="A164" s="28"/>
      <c r="B164" s="29" t="s">
        <v>661</v>
      </c>
      <c r="C164" s="27" t="s">
        <v>547</v>
      </c>
      <c r="D164" s="7"/>
      <c r="E164" s="18"/>
      <c r="F164" s="18"/>
      <c r="G164" s="18"/>
      <c r="H164" s="18"/>
      <c r="I164" s="18"/>
      <c r="J164" s="18"/>
      <c r="K164" s="7">
        <v>0</v>
      </c>
      <c r="L164" s="7">
        <v>0</v>
      </c>
      <c r="M164" s="312">
        <v>0</v>
      </c>
      <c r="N164" s="18">
        <f t="shared" si="26"/>
        <v>0</v>
      </c>
      <c r="O164" s="22">
        <f>L164-N164</f>
        <v>0</v>
      </c>
      <c r="P164" s="22"/>
    </row>
    <row r="165" spans="1:16" s="200" customFormat="1" ht="21.75" customHeight="1">
      <c r="A165" s="213" t="s">
        <v>311</v>
      </c>
      <c r="B165" s="226"/>
      <c r="C165" s="214" t="s">
        <v>86</v>
      </c>
      <c r="D165" s="186"/>
      <c r="E165" s="186"/>
      <c r="F165" s="186"/>
      <c r="G165" s="186"/>
      <c r="H165" s="186"/>
      <c r="I165" s="186"/>
      <c r="J165" s="186"/>
      <c r="K165" s="186">
        <f>SUM(K166:K167)</f>
        <v>3000</v>
      </c>
      <c r="L165" s="186">
        <f>SUM(L166:L167)</f>
        <v>0</v>
      </c>
      <c r="M165" s="185">
        <f t="shared" si="27"/>
        <v>0</v>
      </c>
      <c r="N165" s="186">
        <f>N166+N167</f>
        <v>0</v>
      </c>
      <c r="O165" s="241">
        <f>SUM(O166:O167)</f>
        <v>0</v>
      </c>
      <c r="P165" s="241">
        <f>SUM(P166:P167)</f>
        <v>0</v>
      </c>
    </row>
    <row r="166" spans="1:16" s="200" customFormat="1" ht="21.75" customHeight="1">
      <c r="A166" s="15"/>
      <c r="B166" s="29" t="s">
        <v>629</v>
      </c>
      <c r="C166" s="27" t="s">
        <v>630</v>
      </c>
      <c r="D166" s="6"/>
      <c r="E166" s="6"/>
      <c r="F166" s="6"/>
      <c r="G166" s="6"/>
      <c r="H166" s="6"/>
      <c r="I166" s="6"/>
      <c r="J166" s="6"/>
      <c r="K166" s="18">
        <v>1400</v>
      </c>
      <c r="L166" s="18">
        <v>0</v>
      </c>
      <c r="M166" s="312">
        <f t="shared" si="27"/>
        <v>0</v>
      </c>
      <c r="N166" s="18">
        <f>L166</f>
        <v>0</v>
      </c>
      <c r="O166" s="19">
        <v>0</v>
      </c>
      <c r="P166" s="19">
        <v>0</v>
      </c>
    </row>
    <row r="167" spans="1:16" s="200" customFormat="1" ht="23.25" customHeight="1">
      <c r="A167" s="15"/>
      <c r="B167" s="29" t="s">
        <v>635</v>
      </c>
      <c r="C167" s="27" t="s">
        <v>611</v>
      </c>
      <c r="D167" s="6"/>
      <c r="E167" s="6"/>
      <c r="F167" s="6"/>
      <c r="G167" s="6"/>
      <c r="H167" s="6"/>
      <c r="I167" s="6"/>
      <c r="J167" s="6"/>
      <c r="K167" s="18">
        <v>1600</v>
      </c>
      <c r="L167" s="18">
        <v>0</v>
      </c>
      <c r="M167" s="312">
        <f t="shared" si="27"/>
        <v>0</v>
      </c>
      <c r="N167" s="18">
        <f>L167</f>
        <v>0</v>
      </c>
      <c r="O167" s="19">
        <v>0</v>
      </c>
      <c r="P167" s="19">
        <v>0</v>
      </c>
    </row>
    <row r="168" spans="1:16" s="200" customFormat="1" ht="31.5" customHeight="1">
      <c r="A168" s="190" t="s">
        <v>36</v>
      </c>
      <c r="B168" s="194"/>
      <c r="C168" s="196" t="s">
        <v>377</v>
      </c>
      <c r="D168" s="191" t="e">
        <f>D169+#REF!</f>
        <v>#REF!</v>
      </c>
      <c r="E168" s="191" t="e">
        <f>E169+#REF!</f>
        <v>#REF!</v>
      </c>
      <c r="F168" s="191" t="e">
        <f>F169+#REF!</f>
        <v>#REF!</v>
      </c>
      <c r="G168" s="191" t="e">
        <f>G169+#REF!</f>
        <v>#REF!</v>
      </c>
      <c r="H168" s="191" t="e">
        <f>H169+#REF!</f>
        <v>#REF!</v>
      </c>
      <c r="I168" s="191" t="e">
        <f>I169+#REF!</f>
        <v>#REF!</v>
      </c>
      <c r="J168" s="191" t="e">
        <f>J169+#REF!</f>
        <v>#REF!</v>
      </c>
      <c r="K168" s="191">
        <f>K169+K171</f>
        <v>780893</v>
      </c>
      <c r="L168" s="191">
        <f>L169+L171</f>
        <v>111401</v>
      </c>
      <c r="M168" s="405">
        <f t="shared" si="27"/>
        <v>0.14265846921409206</v>
      </c>
      <c r="N168" s="191">
        <f>N169</f>
        <v>0</v>
      </c>
      <c r="O168" s="193">
        <f>O169</f>
        <v>111401</v>
      </c>
      <c r="P168" s="193">
        <f>P169</f>
        <v>0</v>
      </c>
    </row>
    <row r="169" spans="1:16" s="200" customFormat="1" ht="27" customHeight="1">
      <c r="A169" s="213" t="s">
        <v>37</v>
      </c>
      <c r="B169" s="226"/>
      <c r="C169" s="214" t="s">
        <v>38</v>
      </c>
      <c r="D169" s="186">
        <f>D170</f>
        <v>2700</v>
      </c>
      <c r="E169" s="186">
        <f>E170</f>
        <v>360000</v>
      </c>
      <c r="F169" s="186">
        <f>F170</f>
        <v>0</v>
      </c>
      <c r="G169" s="186">
        <f>G170</f>
        <v>0</v>
      </c>
      <c r="H169" s="186">
        <f>H170+H171</f>
        <v>496142</v>
      </c>
      <c r="I169" s="186">
        <f>I170+I171</f>
        <v>0</v>
      </c>
      <c r="J169" s="186">
        <f>J170+J171</f>
        <v>0</v>
      </c>
      <c r="K169" s="186">
        <f>K170</f>
        <v>600000</v>
      </c>
      <c r="L169" s="186">
        <f>L170</f>
        <v>111401</v>
      </c>
      <c r="M169" s="185">
        <f t="shared" si="27"/>
        <v>0.18566833333333332</v>
      </c>
      <c r="N169" s="186">
        <f>N170+N171</f>
        <v>0</v>
      </c>
      <c r="O169" s="186">
        <f>O170+O171</f>
        <v>111401</v>
      </c>
      <c r="P169" s="186">
        <f>P170+P171</f>
        <v>0</v>
      </c>
    </row>
    <row r="170" spans="1:16" s="200" customFormat="1" ht="14.25" customHeight="1">
      <c r="A170" s="28"/>
      <c r="B170" s="29" t="s">
        <v>39</v>
      </c>
      <c r="C170" s="27" t="s">
        <v>590</v>
      </c>
      <c r="D170" s="7">
        <v>2700</v>
      </c>
      <c r="E170" s="18">
        <v>360000</v>
      </c>
      <c r="F170" s="18">
        <v>0</v>
      </c>
      <c r="G170" s="18">
        <v>0</v>
      </c>
      <c r="H170" s="18">
        <v>463742</v>
      </c>
      <c r="I170" s="18">
        <v>0</v>
      </c>
      <c r="J170" s="18">
        <v>0</v>
      </c>
      <c r="K170" s="7">
        <v>600000</v>
      </c>
      <c r="L170" s="7">
        <v>111401</v>
      </c>
      <c r="M170" s="312">
        <f t="shared" si="27"/>
        <v>0.18566833333333332</v>
      </c>
      <c r="N170" s="18">
        <v>0</v>
      </c>
      <c r="O170" s="22">
        <f>L170</f>
        <v>111401</v>
      </c>
      <c r="P170" s="22">
        <v>0</v>
      </c>
    </row>
    <row r="171" spans="1:16" s="199" customFormat="1" ht="52.5" customHeight="1">
      <c r="A171" s="213" t="s">
        <v>40</v>
      </c>
      <c r="B171" s="226"/>
      <c r="C171" s="214" t="s">
        <v>185</v>
      </c>
      <c r="D171" s="186">
        <v>0</v>
      </c>
      <c r="E171" s="186">
        <v>390000</v>
      </c>
      <c r="F171" s="186">
        <v>0</v>
      </c>
      <c r="G171" s="186">
        <v>0</v>
      </c>
      <c r="H171" s="186">
        <v>32400</v>
      </c>
      <c r="I171" s="186">
        <v>0</v>
      </c>
      <c r="J171" s="186">
        <v>0</v>
      </c>
      <c r="K171" s="186">
        <f>K172+K173</f>
        <v>180893</v>
      </c>
      <c r="L171" s="186">
        <f>L172+L173</f>
        <v>0</v>
      </c>
      <c r="M171" s="185">
        <f t="shared" si="27"/>
        <v>0</v>
      </c>
      <c r="N171" s="186">
        <f aca="true" t="shared" si="28" ref="N171:P172">N172+N173</f>
        <v>0</v>
      </c>
      <c r="O171" s="186">
        <f t="shared" si="28"/>
        <v>0</v>
      </c>
      <c r="P171" s="186">
        <f t="shared" si="28"/>
        <v>0</v>
      </c>
    </row>
    <row r="172" spans="1:16" s="199" customFormat="1" ht="20.25" customHeight="1">
      <c r="A172" s="28"/>
      <c r="B172" s="29" t="s">
        <v>41</v>
      </c>
      <c r="C172" s="27" t="s">
        <v>408</v>
      </c>
      <c r="D172" s="18"/>
      <c r="E172" s="18"/>
      <c r="F172" s="18"/>
      <c r="G172" s="18"/>
      <c r="H172" s="18"/>
      <c r="I172" s="18"/>
      <c r="J172" s="18"/>
      <c r="K172" s="18">
        <v>73217</v>
      </c>
      <c r="L172" s="18">
        <v>0</v>
      </c>
      <c r="M172" s="312">
        <f t="shared" si="27"/>
        <v>0</v>
      </c>
      <c r="N172" s="6">
        <f t="shared" si="28"/>
        <v>0</v>
      </c>
      <c r="O172" s="18">
        <f>L172</f>
        <v>0</v>
      </c>
      <c r="P172" s="18"/>
    </row>
    <row r="173" spans="1:16" s="200" customFormat="1" ht="20.25" customHeight="1">
      <c r="A173" s="28"/>
      <c r="B173" s="29" t="s">
        <v>41</v>
      </c>
      <c r="C173" s="27" t="s">
        <v>408</v>
      </c>
      <c r="D173" s="7"/>
      <c r="E173" s="18"/>
      <c r="F173" s="18"/>
      <c r="G173" s="18"/>
      <c r="H173" s="18"/>
      <c r="I173" s="18"/>
      <c r="J173" s="18"/>
      <c r="K173" s="18">
        <v>107676</v>
      </c>
      <c r="L173" s="18">
        <v>0</v>
      </c>
      <c r="M173" s="312">
        <f t="shared" si="27"/>
        <v>0</v>
      </c>
      <c r="N173" s="18">
        <v>0</v>
      </c>
      <c r="O173" s="18">
        <f>L173</f>
        <v>0</v>
      </c>
      <c r="P173" s="19">
        <v>0</v>
      </c>
    </row>
    <row r="174" spans="1:16" s="200" customFormat="1" ht="16.5" customHeight="1">
      <c r="A174" s="190" t="s">
        <v>42</v>
      </c>
      <c r="B174" s="194"/>
      <c r="C174" s="196" t="s">
        <v>43</v>
      </c>
      <c r="D174" s="191" t="e">
        <f aca="true" t="shared" si="29" ref="D174:P174">D175</f>
        <v>#REF!</v>
      </c>
      <c r="E174" s="191" t="e">
        <f t="shared" si="29"/>
        <v>#REF!</v>
      </c>
      <c r="F174" s="191">
        <f t="shared" si="29"/>
        <v>0</v>
      </c>
      <c r="G174" s="191">
        <f t="shared" si="29"/>
        <v>0</v>
      </c>
      <c r="H174" s="191">
        <f>H175</f>
        <v>53260</v>
      </c>
      <c r="I174" s="191">
        <f>I175</f>
        <v>0</v>
      </c>
      <c r="J174" s="191">
        <f>J175</f>
        <v>0</v>
      </c>
      <c r="K174" s="191">
        <f>K175</f>
        <v>375700</v>
      </c>
      <c r="L174" s="191">
        <f>L175</f>
        <v>0</v>
      </c>
      <c r="M174" s="405">
        <f t="shared" si="27"/>
        <v>0</v>
      </c>
      <c r="N174" s="191">
        <f t="shared" si="29"/>
        <v>0</v>
      </c>
      <c r="O174" s="193">
        <f t="shared" si="29"/>
        <v>0</v>
      </c>
      <c r="P174" s="193">
        <f t="shared" si="29"/>
        <v>0</v>
      </c>
    </row>
    <row r="175" spans="1:16" s="200" customFormat="1" ht="15" customHeight="1">
      <c r="A175" s="213" t="s">
        <v>44</v>
      </c>
      <c r="B175" s="226"/>
      <c r="C175" s="214" t="s">
        <v>45</v>
      </c>
      <c r="D175" s="186" t="e">
        <f>D176+D177+#REF!</f>
        <v>#REF!</v>
      </c>
      <c r="E175" s="186" t="e">
        <f>E176+E177+#REF!</f>
        <v>#REF!</v>
      </c>
      <c r="F175" s="186">
        <f aca="true" t="shared" si="30" ref="F175:P175">F176+F177</f>
        <v>0</v>
      </c>
      <c r="G175" s="186">
        <f t="shared" si="30"/>
        <v>0</v>
      </c>
      <c r="H175" s="186">
        <f t="shared" si="30"/>
        <v>53260</v>
      </c>
      <c r="I175" s="186">
        <f t="shared" si="30"/>
        <v>0</v>
      </c>
      <c r="J175" s="186">
        <f t="shared" si="30"/>
        <v>0</v>
      </c>
      <c r="K175" s="186">
        <f>K176+K177</f>
        <v>375700</v>
      </c>
      <c r="L175" s="186">
        <f>L176+L177</f>
        <v>0</v>
      </c>
      <c r="M175" s="185">
        <f t="shared" si="27"/>
        <v>0</v>
      </c>
      <c r="N175" s="186">
        <f t="shared" si="30"/>
        <v>0</v>
      </c>
      <c r="O175" s="186">
        <f t="shared" si="30"/>
        <v>0</v>
      </c>
      <c r="P175" s="182">
        <f t="shared" si="30"/>
        <v>0</v>
      </c>
    </row>
    <row r="176" spans="1:16" s="200" customFormat="1" ht="17.25" customHeight="1">
      <c r="A176" s="28"/>
      <c r="B176" s="29" t="s">
        <v>46</v>
      </c>
      <c r="C176" s="27" t="s">
        <v>47</v>
      </c>
      <c r="D176" s="7">
        <v>0</v>
      </c>
      <c r="E176" s="18">
        <v>0</v>
      </c>
      <c r="F176" s="18">
        <v>0</v>
      </c>
      <c r="G176" s="18">
        <v>0</v>
      </c>
      <c r="H176" s="7">
        <v>18000</v>
      </c>
      <c r="I176" s="7"/>
      <c r="J176" s="7">
        <v>0</v>
      </c>
      <c r="K176" s="7">
        <v>0</v>
      </c>
      <c r="L176" s="7">
        <v>0</v>
      </c>
      <c r="M176" s="312">
        <v>0</v>
      </c>
      <c r="N176" s="18">
        <v>0</v>
      </c>
      <c r="O176" s="22">
        <f>K176</f>
        <v>0</v>
      </c>
      <c r="P176" s="22">
        <v>0</v>
      </c>
    </row>
    <row r="177" spans="1:16" s="200" customFormat="1" ht="17.25" customHeight="1">
      <c r="A177" s="28"/>
      <c r="B177" s="29" t="s">
        <v>46</v>
      </c>
      <c r="C177" s="27" t="s">
        <v>48</v>
      </c>
      <c r="D177" s="7">
        <v>0</v>
      </c>
      <c r="E177" s="18">
        <v>0</v>
      </c>
      <c r="F177" s="18">
        <v>0</v>
      </c>
      <c r="G177" s="18">
        <v>0</v>
      </c>
      <c r="H177" s="7">
        <v>35260</v>
      </c>
      <c r="I177" s="7">
        <v>0</v>
      </c>
      <c r="J177" s="7">
        <v>0</v>
      </c>
      <c r="K177" s="7">
        <v>375700</v>
      </c>
      <c r="L177" s="7">
        <v>0</v>
      </c>
      <c r="M177" s="312">
        <f t="shared" si="27"/>
        <v>0</v>
      </c>
      <c r="N177" s="18">
        <v>0</v>
      </c>
      <c r="O177" s="22">
        <v>0</v>
      </c>
      <c r="P177" s="22">
        <v>0</v>
      </c>
    </row>
    <row r="178" spans="1:16" s="200" customFormat="1" ht="16.5" customHeight="1">
      <c r="A178" s="190" t="s">
        <v>49</v>
      </c>
      <c r="B178" s="194"/>
      <c r="C178" s="196" t="s">
        <v>50</v>
      </c>
      <c r="D178" s="191" t="e">
        <f>D179+D193+D204+#REF!+D232+#REF!+D254+#REF!</f>
        <v>#REF!</v>
      </c>
      <c r="E178" s="191" t="e">
        <f>E179+E193+E204+#REF!+E232+#REF!+E254+#REF!+#REF!+E267+E264+#REF!</f>
        <v>#REF!</v>
      </c>
      <c r="F178" s="191" t="e">
        <f>F179+F193+F204+F232+#REF!+#REF!+F254+#REF!+F264+F267+#REF!+#REF!</f>
        <v>#REF!</v>
      </c>
      <c r="G178" s="191" t="e">
        <f>G179+G193+G204+G232+#REF!+#REF!+G254+#REF!+G264+G267+#REF!+#REF!</f>
        <v>#REF!</v>
      </c>
      <c r="H178" s="191" t="e">
        <f>H179+H191+H193+H204+H223+H232+H254+H264+H267+#REF!</f>
        <v>#REF!</v>
      </c>
      <c r="I178" s="191" t="e">
        <f>I179+I191+I193+I204+I223+I232+I254+I264+I267+#REF!</f>
        <v>#REF!</v>
      </c>
      <c r="J178" s="191" t="e">
        <f>J179+J191+J193+J204+J223+J232+J254+J264+J267+#REF!</f>
        <v>#REF!</v>
      </c>
      <c r="K178" s="191">
        <f>K179+K191+K193+K204+K223+K232+K254+K264+K267</f>
        <v>10380835</v>
      </c>
      <c r="L178" s="191">
        <f>L179+L191+L193+L204+L223+L232+L254+L264+L267</f>
        <v>3259304</v>
      </c>
      <c r="M178" s="405">
        <f t="shared" si="27"/>
        <v>0.3139732015777151</v>
      </c>
      <c r="N178" s="191">
        <f>N179+N191+N193+N204+N223+N232+N254+N264+N267</f>
        <v>0</v>
      </c>
      <c r="O178" s="191">
        <f>O179+O191+O193+O204+O223+O232+O254+O264+O267</f>
        <v>3256304</v>
      </c>
      <c r="P178" s="191">
        <f>P179+P191+P193+P204+P223+P232+P254+P264+P267</f>
        <v>3000</v>
      </c>
    </row>
    <row r="179" spans="1:16" s="200" customFormat="1" ht="16.5" customHeight="1">
      <c r="A179" s="213" t="s">
        <v>51</v>
      </c>
      <c r="B179" s="226"/>
      <c r="C179" s="214" t="s">
        <v>52</v>
      </c>
      <c r="D179" s="186" t="e">
        <f>D180+D181+D182+#REF!</f>
        <v>#REF!</v>
      </c>
      <c r="E179" s="186" t="e">
        <f>E180+E181+E182+E183+#REF!+E185+#REF!+E186+#REF!+E187+E188+E189</f>
        <v>#REF!</v>
      </c>
      <c r="F179" s="186" t="e">
        <f>F180+F181+F182+F183+#REF!+F185+#REF!+F186+#REF!+F187+F188+F189</f>
        <v>#REF!</v>
      </c>
      <c r="G179" s="186" t="e">
        <f>G180+G181+G182+G183+#REF!+G185+#REF!+G186+#REF!+G187+G188+G189</f>
        <v>#REF!</v>
      </c>
      <c r="H179" s="186" t="e">
        <f>H180+H181+H182+H183+H185+H186+H187+H188+H189+H190+#REF!</f>
        <v>#REF!</v>
      </c>
      <c r="I179" s="186" t="e">
        <f>I180+I181+I182+I183+I185+I186+I187+I188+I189+I190+#REF!</f>
        <v>#REF!</v>
      </c>
      <c r="J179" s="186" t="e">
        <f>J180+J181+J182+J183+J185+J186+J187+J188+J189+J190+#REF!</f>
        <v>#REF!</v>
      </c>
      <c r="K179" s="186">
        <f>K180+K181+K182+K183+K184+K185+K186+K187+K188+K189+K190</f>
        <v>913386</v>
      </c>
      <c r="L179" s="186">
        <f>L180+L181+L182+L183+L184+L185+L186+L187+L188+L189+L190</f>
        <v>180974</v>
      </c>
      <c r="M179" s="185">
        <f>L179/K179</f>
        <v>0.19813529000882432</v>
      </c>
      <c r="N179" s="186">
        <f>N180+N181+N182+N183+N184+N185+N186+N187+N188+N189+N190</f>
        <v>0</v>
      </c>
      <c r="O179" s="186">
        <f>O180+O181+O182+O183+O184+O185+O186+O187+O188+O189+O190</f>
        <v>180974</v>
      </c>
      <c r="P179" s="186">
        <f>P180+P181+P182+P183+P184+P185+P186+P187+P188+P189+P190</f>
        <v>0</v>
      </c>
    </row>
    <row r="180" spans="1:16" s="200" customFormat="1" ht="16.5" customHeight="1">
      <c r="A180" s="15"/>
      <c r="B180" s="16" t="s">
        <v>619</v>
      </c>
      <c r="C180" s="10" t="s">
        <v>620</v>
      </c>
      <c r="D180" s="7">
        <v>866965</v>
      </c>
      <c r="E180" s="7">
        <v>823342</v>
      </c>
      <c r="F180" s="7">
        <v>45000</v>
      </c>
      <c r="G180" s="7">
        <v>24814</v>
      </c>
      <c r="H180" s="7">
        <v>355622</v>
      </c>
      <c r="I180" s="7">
        <v>0</v>
      </c>
      <c r="J180" s="7">
        <v>0</v>
      </c>
      <c r="K180" s="7">
        <v>456714</v>
      </c>
      <c r="L180" s="7">
        <v>69896</v>
      </c>
      <c r="M180" s="312">
        <f t="shared" si="27"/>
        <v>0.15304107165534667</v>
      </c>
      <c r="N180" s="7">
        <v>0</v>
      </c>
      <c r="O180" s="22">
        <f>L180</f>
        <v>69896</v>
      </c>
      <c r="P180" s="22">
        <v>0</v>
      </c>
    </row>
    <row r="181" spans="1:16" s="200" customFormat="1" ht="15.75" customHeight="1">
      <c r="A181" s="15"/>
      <c r="B181" s="16" t="s">
        <v>623</v>
      </c>
      <c r="C181" s="10" t="s">
        <v>624</v>
      </c>
      <c r="D181" s="7">
        <v>75166</v>
      </c>
      <c r="E181" s="7">
        <v>81513</v>
      </c>
      <c r="F181" s="7">
        <v>0</v>
      </c>
      <c r="G181" s="7">
        <v>0</v>
      </c>
      <c r="H181" s="7">
        <v>40794</v>
      </c>
      <c r="I181" s="7">
        <v>0</v>
      </c>
      <c r="J181" s="7">
        <v>0</v>
      </c>
      <c r="K181" s="7">
        <v>33500</v>
      </c>
      <c r="L181" s="7">
        <v>26941</v>
      </c>
      <c r="M181" s="312">
        <f t="shared" si="27"/>
        <v>0.8042089552238806</v>
      </c>
      <c r="N181" s="7">
        <v>0</v>
      </c>
      <c r="O181" s="22">
        <f aca="true" t="shared" si="31" ref="O181:O190">L181</f>
        <v>26941</v>
      </c>
      <c r="P181" s="22">
        <v>0</v>
      </c>
    </row>
    <row r="182" spans="1:16" s="200" customFormat="1" ht="15" customHeight="1">
      <c r="A182" s="15"/>
      <c r="B182" s="23" t="s">
        <v>675</v>
      </c>
      <c r="C182" s="10" t="s">
        <v>653</v>
      </c>
      <c r="D182" s="7">
        <v>205528</v>
      </c>
      <c r="E182" s="7">
        <v>158209</v>
      </c>
      <c r="F182" s="7">
        <v>8046</v>
      </c>
      <c r="G182" s="7">
        <v>4948</v>
      </c>
      <c r="H182" s="7">
        <v>70500</v>
      </c>
      <c r="I182" s="7">
        <v>0</v>
      </c>
      <c r="J182" s="7">
        <v>0</v>
      </c>
      <c r="K182" s="7">
        <v>88900</v>
      </c>
      <c r="L182" s="7">
        <v>17069</v>
      </c>
      <c r="M182" s="312">
        <f t="shared" si="27"/>
        <v>0.19200224971878516</v>
      </c>
      <c r="N182" s="7">
        <v>0</v>
      </c>
      <c r="O182" s="22">
        <f t="shared" si="31"/>
        <v>17069</v>
      </c>
      <c r="P182" s="22">
        <v>0</v>
      </c>
    </row>
    <row r="183" spans="1:16" s="200" customFormat="1" ht="15" customHeight="1">
      <c r="A183" s="15"/>
      <c r="B183" s="23" t="s">
        <v>627</v>
      </c>
      <c r="C183" s="10" t="s">
        <v>628</v>
      </c>
      <c r="D183" s="7"/>
      <c r="E183" s="7">
        <v>21676</v>
      </c>
      <c r="F183" s="7">
        <v>1102</v>
      </c>
      <c r="G183" s="7">
        <v>680</v>
      </c>
      <c r="H183" s="7">
        <v>9660</v>
      </c>
      <c r="I183" s="7">
        <v>0</v>
      </c>
      <c r="J183" s="7">
        <v>0</v>
      </c>
      <c r="K183" s="7">
        <v>12000</v>
      </c>
      <c r="L183" s="7">
        <v>2351</v>
      </c>
      <c r="M183" s="312">
        <f t="shared" si="27"/>
        <v>0.19591666666666666</v>
      </c>
      <c r="N183" s="7">
        <v>0</v>
      </c>
      <c r="O183" s="22">
        <f t="shared" si="31"/>
        <v>2351</v>
      </c>
      <c r="P183" s="22">
        <v>0</v>
      </c>
    </row>
    <row r="184" spans="1:16" s="200" customFormat="1" ht="15" customHeight="1">
      <c r="A184" s="15"/>
      <c r="B184" s="23" t="s">
        <v>470</v>
      </c>
      <c r="C184" s="10" t="s">
        <v>483</v>
      </c>
      <c r="D184" s="7"/>
      <c r="E184" s="7"/>
      <c r="F184" s="7"/>
      <c r="G184" s="7"/>
      <c r="H184" s="7"/>
      <c r="I184" s="7"/>
      <c r="J184" s="7"/>
      <c r="K184" s="7">
        <v>2000</v>
      </c>
      <c r="L184" s="7">
        <v>0</v>
      </c>
      <c r="M184" s="312">
        <f t="shared" si="27"/>
        <v>0</v>
      </c>
      <c r="N184" s="7">
        <v>0</v>
      </c>
      <c r="O184" s="22">
        <f t="shared" si="31"/>
        <v>0</v>
      </c>
      <c r="P184" s="22">
        <v>0</v>
      </c>
    </row>
    <row r="185" spans="1:16" s="200" customFormat="1" ht="16.5" customHeight="1">
      <c r="A185" s="15"/>
      <c r="B185" s="23" t="s">
        <v>629</v>
      </c>
      <c r="C185" s="10" t="s">
        <v>57</v>
      </c>
      <c r="D185" s="7"/>
      <c r="E185" s="7">
        <v>35892</v>
      </c>
      <c r="F185" s="7">
        <v>2000</v>
      </c>
      <c r="G185" s="7">
        <v>0</v>
      </c>
      <c r="H185" s="7">
        <v>22000</v>
      </c>
      <c r="I185" s="7">
        <v>0</v>
      </c>
      <c r="J185" s="7">
        <v>0</v>
      </c>
      <c r="K185" s="7">
        <v>43500</v>
      </c>
      <c r="L185" s="7">
        <v>13507</v>
      </c>
      <c r="M185" s="312">
        <f t="shared" si="27"/>
        <v>0.3105057471264368</v>
      </c>
      <c r="N185" s="7">
        <v>0</v>
      </c>
      <c r="O185" s="22">
        <f t="shared" si="31"/>
        <v>13507</v>
      </c>
      <c r="P185" s="22">
        <v>0</v>
      </c>
    </row>
    <row r="186" spans="1:16" s="200" customFormat="1" ht="16.5" customHeight="1">
      <c r="A186" s="15"/>
      <c r="B186" s="23" t="s">
        <v>631</v>
      </c>
      <c r="C186" s="10" t="s">
        <v>20</v>
      </c>
      <c r="D186" s="7"/>
      <c r="E186" s="7">
        <v>12822</v>
      </c>
      <c r="F186" s="7">
        <v>0</v>
      </c>
      <c r="G186" s="7">
        <v>0</v>
      </c>
      <c r="H186" s="7">
        <v>8850</v>
      </c>
      <c r="I186" s="7">
        <v>0</v>
      </c>
      <c r="J186" s="7">
        <v>0</v>
      </c>
      <c r="K186" s="7">
        <v>9135</v>
      </c>
      <c r="L186" s="7">
        <v>2856</v>
      </c>
      <c r="M186" s="312">
        <f t="shared" si="27"/>
        <v>0.31264367816091954</v>
      </c>
      <c r="N186" s="7">
        <v>0</v>
      </c>
      <c r="O186" s="22">
        <f t="shared" si="31"/>
        <v>2856</v>
      </c>
      <c r="P186" s="22">
        <v>0</v>
      </c>
    </row>
    <row r="187" spans="1:16" s="200" customFormat="1" ht="16.5" customHeight="1">
      <c r="A187" s="15"/>
      <c r="B187" s="23" t="s">
        <v>635</v>
      </c>
      <c r="C187" s="10" t="s">
        <v>22</v>
      </c>
      <c r="D187" s="7"/>
      <c r="E187" s="7">
        <v>9517</v>
      </c>
      <c r="F187" s="7">
        <v>0</v>
      </c>
      <c r="G187" s="7">
        <v>0</v>
      </c>
      <c r="H187" s="7">
        <v>5400</v>
      </c>
      <c r="I187" s="7">
        <v>0</v>
      </c>
      <c r="J187" s="7">
        <v>0</v>
      </c>
      <c r="K187" s="7">
        <v>16380</v>
      </c>
      <c r="L187" s="7">
        <v>1286</v>
      </c>
      <c r="M187" s="312">
        <f t="shared" si="27"/>
        <v>0.07851037851037851</v>
      </c>
      <c r="N187" s="7">
        <v>0</v>
      </c>
      <c r="O187" s="22">
        <f t="shared" si="31"/>
        <v>1286</v>
      </c>
      <c r="P187" s="22">
        <v>0</v>
      </c>
    </row>
    <row r="188" spans="1:16" s="200" customFormat="1" ht="15" customHeight="1">
      <c r="A188" s="15"/>
      <c r="B188" s="23" t="s">
        <v>637</v>
      </c>
      <c r="C188" s="10" t="s">
        <v>638</v>
      </c>
      <c r="D188" s="7"/>
      <c r="E188" s="7">
        <v>229</v>
      </c>
      <c r="F188" s="7">
        <v>800</v>
      </c>
      <c r="G188" s="7">
        <v>0</v>
      </c>
      <c r="H188" s="7">
        <v>200</v>
      </c>
      <c r="I188" s="7">
        <v>0</v>
      </c>
      <c r="J188" s="7">
        <v>0</v>
      </c>
      <c r="K188" s="7">
        <v>1200</v>
      </c>
      <c r="L188" s="7">
        <v>417</v>
      </c>
      <c r="M188" s="312">
        <f t="shared" si="27"/>
        <v>0.3475</v>
      </c>
      <c r="N188" s="7">
        <v>0</v>
      </c>
      <c r="O188" s="22">
        <f t="shared" si="31"/>
        <v>417</v>
      </c>
      <c r="P188" s="22">
        <v>0</v>
      </c>
    </row>
    <row r="189" spans="1:16" s="200" customFormat="1" ht="17.25" customHeight="1">
      <c r="A189" s="15"/>
      <c r="B189" s="23" t="s">
        <v>641</v>
      </c>
      <c r="C189" s="10" t="s">
        <v>642</v>
      </c>
      <c r="D189" s="7"/>
      <c r="E189" s="7">
        <v>60464</v>
      </c>
      <c r="F189" s="7">
        <v>0</v>
      </c>
      <c r="G189" s="7">
        <v>0</v>
      </c>
      <c r="H189" s="7">
        <v>17534</v>
      </c>
      <c r="I189" s="7">
        <v>0</v>
      </c>
      <c r="J189" s="7">
        <v>0</v>
      </c>
      <c r="K189" s="7">
        <v>29453</v>
      </c>
      <c r="L189" s="7">
        <v>0</v>
      </c>
      <c r="M189" s="312">
        <f t="shared" si="27"/>
        <v>0</v>
      </c>
      <c r="N189" s="7">
        <v>0</v>
      </c>
      <c r="O189" s="22">
        <f t="shared" si="31"/>
        <v>0</v>
      </c>
      <c r="P189" s="22">
        <v>0</v>
      </c>
    </row>
    <row r="190" spans="1:16" s="200" customFormat="1" ht="21.75" customHeight="1">
      <c r="A190" s="15"/>
      <c r="B190" s="16" t="s">
        <v>61</v>
      </c>
      <c r="C190" s="137" t="s">
        <v>218</v>
      </c>
      <c r="D190" s="7"/>
      <c r="E190" s="7"/>
      <c r="F190" s="7"/>
      <c r="G190" s="7"/>
      <c r="H190" s="7">
        <v>181417</v>
      </c>
      <c r="I190" s="7">
        <v>0</v>
      </c>
      <c r="J190" s="7">
        <v>0</v>
      </c>
      <c r="K190" s="7">
        <v>220604</v>
      </c>
      <c r="L190" s="7">
        <v>46651</v>
      </c>
      <c r="M190" s="312">
        <f t="shared" si="27"/>
        <v>0.21146942031876123</v>
      </c>
      <c r="N190" s="7">
        <v>0</v>
      </c>
      <c r="O190" s="22">
        <f t="shared" si="31"/>
        <v>46651</v>
      </c>
      <c r="P190" s="22">
        <v>0</v>
      </c>
    </row>
    <row r="191" spans="1:16" s="200" customFormat="1" ht="18.75" customHeight="1">
      <c r="A191" s="213" t="s">
        <v>217</v>
      </c>
      <c r="B191" s="226"/>
      <c r="C191" s="214" t="s">
        <v>216</v>
      </c>
      <c r="D191" s="186"/>
      <c r="E191" s="186"/>
      <c r="F191" s="186"/>
      <c r="G191" s="186"/>
      <c r="H191" s="186">
        <f aca="true" t="shared" si="32" ref="H191:P191">H192</f>
        <v>65981</v>
      </c>
      <c r="I191" s="186">
        <f t="shared" si="32"/>
        <v>0</v>
      </c>
      <c r="J191" s="186">
        <f t="shared" si="32"/>
        <v>0</v>
      </c>
      <c r="K191" s="186">
        <f>K192</f>
        <v>111982</v>
      </c>
      <c r="L191" s="186">
        <f>L192</f>
        <v>27996</v>
      </c>
      <c r="M191" s="185">
        <f t="shared" si="27"/>
        <v>0.2500044650033041</v>
      </c>
      <c r="N191" s="186">
        <f t="shared" si="32"/>
        <v>0</v>
      </c>
      <c r="O191" s="186">
        <f t="shared" si="32"/>
        <v>27996</v>
      </c>
      <c r="P191" s="186">
        <f t="shared" si="32"/>
        <v>0</v>
      </c>
    </row>
    <row r="192" spans="1:16" s="200" customFormat="1" ht="21" customHeight="1">
      <c r="A192" s="15"/>
      <c r="B192" s="16" t="s">
        <v>61</v>
      </c>
      <c r="C192" s="137" t="s">
        <v>218</v>
      </c>
      <c r="D192" s="7"/>
      <c r="E192" s="7"/>
      <c r="F192" s="7"/>
      <c r="G192" s="7"/>
      <c r="H192" s="7">
        <v>65981</v>
      </c>
      <c r="I192" s="7">
        <v>0</v>
      </c>
      <c r="J192" s="7">
        <v>0</v>
      </c>
      <c r="K192" s="7">
        <v>111982</v>
      </c>
      <c r="L192" s="7">
        <v>27996</v>
      </c>
      <c r="M192" s="406">
        <f t="shared" si="27"/>
        <v>0.2500044650033041</v>
      </c>
      <c r="N192" s="7">
        <v>0</v>
      </c>
      <c r="O192" s="22">
        <f>L192</f>
        <v>27996</v>
      </c>
      <c r="P192" s="22">
        <v>0</v>
      </c>
    </row>
    <row r="193" spans="1:16" s="200" customFormat="1" ht="18.75" customHeight="1">
      <c r="A193" s="213" t="s">
        <v>62</v>
      </c>
      <c r="B193" s="226"/>
      <c r="C193" s="214" t="s">
        <v>64</v>
      </c>
      <c r="D193" s="186" t="e">
        <f>D194+D195+D196+#REF!</f>
        <v>#REF!</v>
      </c>
      <c r="E193" s="186" t="e">
        <f>E194+E195+E196+E197+#REF!+E198+#REF!+#REF!+E201</f>
        <v>#REF!</v>
      </c>
      <c r="F193" s="186" t="e">
        <f>F194+F195+F196+F197+#REF!+F198+#REF!+#REF!+F201</f>
        <v>#REF!</v>
      </c>
      <c r="G193" s="186" t="e">
        <f>G194+G195+G196+G197+#REF!+G198+#REF!+#REF!+G201</f>
        <v>#REF!</v>
      </c>
      <c r="H193" s="186">
        <f>H194+H195+H196+H197+H198+H201+H203+H200</f>
        <v>416271</v>
      </c>
      <c r="I193" s="186">
        <f>I194+I195+I196+I197+I198+I201+I203+I200</f>
        <v>0</v>
      </c>
      <c r="J193" s="186">
        <f>J194+J195+J196+J197+J198+J201+J203+J200</f>
        <v>0</v>
      </c>
      <c r="K193" s="186">
        <f>K194+K195+K196+K197+K198+K201+K203+K200+K199+K202</f>
        <v>927189</v>
      </c>
      <c r="L193" s="186">
        <f>L194+L195+L196+L197+L198+L201+L203+L200+L199+L202</f>
        <v>440655</v>
      </c>
      <c r="M193" s="185">
        <f t="shared" si="27"/>
        <v>0.47525908957073476</v>
      </c>
      <c r="N193" s="186">
        <f>N194+N195+N196+N197+N198+N201+N203+N200+N199</f>
        <v>0</v>
      </c>
      <c r="O193" s="186">
        <f>O194+O195+O196+O197+O198+O199+O200+O201+O202+O203</f>
        <v>440655</v>
      </c>
      <c r="P193" s="186">
        <f>P194+P195+P196+P197+P198+P201+P203+P200+P199</f>
        <v>0</v>
      </c>
    </row>
    <row r="194" spans="1:16" s="200" customFormat="1" ht="18" customHeight="1">
      <c r="A194" s="15"/>
      <c r="B194" s="16" t="s">
        <v>619</v>
      </c>
      <c r="C194" s="10" t="s">
        <v>620</v>
      </c>
      <c r="D194" s="7">
        <v>212518</v>
      </c>
      <c r="E194" s="7">
        <v>225071</v>
      </c>
      <c r="F194" s="7">
        <v>24814</v>
      </c>
      <c r="G194" s="7">
        <v>0</v>
      </c>
      <c r="H194" s="7">
        <v>279732</v>
      </c>
      <c r="I194" s="7">
        <v>0</v>
      </c>
      <c r="J194" s="7">
        <v>0</v>
      </c>
      <c r="K194" s="7">
        <v>283933</v>
      </c>
      <c r="L194" s="7">
        <v>57533</v>
      </c>
      <c r="M194" s="312">
        <f t="shared" si="27"/>
        <v>0.20262878918618124</v>
      </c>
      <c r="N194" s="7">
        <v>0</v>
      </c>
      <c r="O194" s="22">
        <f>L194</f>
        <v>57533</v>
      </c>
      <c r="P194" s="22">
        <v>0</v>
      </c>
    </row>
    <row r="195" spans="1:16" s="200" customFormat="1" ht="16.5" customHeight="1">
      <c r="A195" s="15"/>
      <c r="B195" s="16" t="s">
        <v>623</v>
      </c>
      <c r="C195" s="10" t="s">
        <v>624</v>
      </c>
      <c r="D195" s="7">
        <v>4145</v>
      </c>
      <c r="E195" s="7">
        <v>6923</v>
      </c>
      <c r="F195" s="7">
        <v>0</v>
      </c>
      <c r="G195" s="7">
        <v>0</v>
      </c>
      <c r="H195" s="18">
        <v>10410</v>
      </c>
      <c r="I195" s="18">
        <v>0</v>
      </c>
      <c r="J195" s="18">
        <v>0</v>
      </c>
      <c r="K195" s="7">
        <v>22984</v>
      </c>
      <c r="L195" s="7">
        <v>18074</v>
      </c>
      <c r="M195" s="312">
        <f t="shared" si="27"/>
        <v>0.7863731291333101</v>
      </c>
      <c r="N195" s="7">
        <v>0</v>
      </c>
      <c r="O195" s="22">
        <f aca="true" t="shared" si="33" ref="O195:O203">L195</f>
        <v>18074</v>
      </c>
      <c r="P195" s="22">
        <v>0</v>
      </c>
    </row>
    <row r="196" spans="1:16" s="200" customFormat="1" ht="15.75" customHeight="1">
      <c r="A196" s="15"/>
      <c r="B196" s="23" t="s">
        <v>675</v>
      </c>
      <c r="C196" s="10" t="s">
        <v>653</v>
      </c>
      <c r="D196" s="7">
        <v>44040</v>
      </c>
      <c r="E196" s="7">
        <v>40253</v>
      </c>
      <c r="F196" s="7">
        <v>4948</v>
      </c>
      <c r="G196" s="7">
        <v>0</v>
      </c>
      <c r="H196" s="7">
        <v>51300</v>
      </c>
      <c r="I196" s="7">
        <v>0</v>
      </c>
      <c r="J196" s="7">
        <v>0</v>
      </c>
      <c r="K196" s="7">
        <v>55214</v>
      </c>
      <c r="L196" s="7">
        <v>13400</v>
      </c>
      <c r="M196" s="312">
        <f t="shared" si="27"/>
        <v>0.2426920708515956</v>
      </c>
      <c r="N196" s="7">
        <v>0</v>
      </c>
      <c r="O196" s="22">
        <f t="shared" si="33"/>
        <v>13400</v>
      </c>
      <c r="P196" s="22">
        <v>0</v>
      </c>
    </row>
    <row r="197" spans="1:16" s="200" customFormat="1" ht="14.25" customHeight="1">
      <c r="A197" s="15"/>
      <c r="B197" s="23" t="s">
        <v>627</v>
      </c>
      <c r="C197" s="10" t="s">
        <v>628</v>
      </c>
      <c r="D197" s="7"/>
      <c r="E197" s="7">
        <v>5538</v>
      </c>
      <c r="F197" s="7">
        <v>680</v>
      </c>
      <c r="G197" s="7">
        <v>0</v>
      </c>
      <c r="H197" s="7">
        <v>7030</v>
      </c>
      <c r="I197" s="7">
        <v>0</v>
      </c>
      <c r="J197" s="7">
        <v>0</v>
      </c>
      <c r="K197" s="7">
        <v>7520</v>
      </c>
      <c r="L197" s="7">
        <v>1821</v>
      </c>
      <c r="M197" s="312">
        <f t="shared" si="27"/>
        <v>0.24215425531914894</v>
      </c>
      <c r="N197" s="7">
        <v>0</v>
      </c>
      <c r="O197" s="22">
        <f t="shared" si="33"/>
        <v>1821</v>
      </c>
      <c r="P197" s="22">
        <v>0</v>
      </c>
    </row>
    <row r="198" spans="1:16" s="200" customFormat="1" ht="14.25" customHeight="1">
      <c r="A198" s="15"/>
      <c r="B198" s="16" t="s">
        <v>629</v>
      </c>
      <c r="C198" s="7" t="s">
        <v>65</v>
      </c>
      <c r="D198" s="7"/>
      <c r="E198" s="7">
        <v>1700</v>
      </c>
      <c r="F198" s="7">
        <v>0</v>
      </c>
      <c r="G198" s="7">
        <v>0</v>
      </c>
      <c r="H198" s="7">
        <v>300</v>
      </c>
      <c r="I198" s="7">
        <v>0</v>
      </c>
      <c r="J198" s="7">
        <v>0</v>
      </c>
      <c r="K198" s="7">
        <v>57370</v>
      </c>
      <c r="L198" s="7">
        <v>53307</v>
      </c>
      <c r="M198" s="312">
        <f t="shared" si="27"/>
        <v>0.929179013421649</v>
      </c>
      <c r="N198" s="7">
        <v>0</v>
      </c>
      <c r="O198" s="22">
        <f t="shared" si="33"/>
        <v>53307</v>
      </c>
      <c r="P198" s="22">
        <v>0</v>
      </c>
    </row>
    <row r="199" spans="1:16" s="200" customFormat="1" ht="14.25" customHeight="1">
      <c r="A199" s="15"/>
      <c r="B199" s="16" t="s">
        <v>631</v>
      </c>
      <c r="C199" s="7" t="s">
        <v>20</v>
      </c>
      <c r="D199" s="7"/>
      <c r="E199" s="7"/>
      <c r="F199" s="7"/>
      <c r="G199" s="7"/>
      <c r="H199" s="7"/>
      <c r="I199" s="7"/>
      <c r="J199" s="7"/>
      <c r="K199" s="7">
        <v>2100</v>
      </c>
      <c r="L199" s="7">
        <v>0</v>
      </c>
      <c r="M199" s="312">
        <f t="shared" si="27"/>
        <v>0</v>
      </c>
      <c r="N199" s="7">
        <v>0</v>
      </c>
      <c r="O199" s="22">
        <f t="shared" si="33"/>
        <v>0</v>
      </c>
      <c r="P199" s="22">
        <v>0</v>
      </c>
    </row>
    <row r="200" spans="1:16" s="200" customFormat="1" ht="14.25" customHeight="1">
      <c r="A200" s="15"/>
      <c r="B200" s="16" t="s">
        <v>635</v>
      </c>
      <c r="C200" s="7" t="s">
        <v>22</v>
      </c>
      <c r="D200" s="7"/>
      <c r="E200" s="7"/>
      <c r="F200" s="7"/>
      <c r="G200" s="7"/>
      <c r="H200" s="7">
        <v>1700</v>
      </c>
      <c r="I200" s="7">
        <v>0</v>
      </c>
      <c r="J200" s="7">
        <v>0</v>
      </c>
      <c r="K200" s="7">
        <v>3675</v>
      </c>
      <c r="L200" s="7">
        <v>0</v>
      </c>
      <c r="M200" s="312">
        <f t="shared" si="27"/>
        <v>0</v>
      </c>
      <c r="N200" s="7">
        <v>0</v>
      </c>
      <c r="O200" s="22">
        <f t="shared" si="33"/>
        <v>0</v>
      </c>
      <c r="P200" s="22">
        <v>0</v>
      </c>
    </row>
    <row r="201" spans="1:16" s="200" customFormat="1" ht="18.75" customHeight="1">
      <c r="A201" s="15"/>
      <c r="B201" s="16" t="s">
        <v>641</v>
      </c>
      <c r="C201" s="7" t="s">
        <v>642</v>
      </c>
      <c r="D201" s="7"/>
      <c r="E201" s="7">
        <v>15689</v>
      </c>
      <c r="F201" s="7">
        <v>0</v>
      </c>
      <c r="G201" s="7">
        <v>0</v>
      </c>
      <c r="H201" s="18">
        <v>14740</v>
      </c>
      <c r="I201" s="18">
        <v>0</v>
      </c>
      <c r="J201" s="18">
        <v>0</v>
      </c>
      <c r="K201" s="7">
        <v>14862</v>
      </c>
      <c r="L201" s="7">
        <v>0</v>
      </c>
      <c r="M201" s="312">
        <f t="shared" si="27"/>
        <v>0</v>
      </c>
      <c r="N201" s="7">
        <v>0</v>
      </c>
      <c r="O201" s="22">
        <f t="shared" si="33"/>
        <v>0</v>
      </c>
      <c r="P201" s="22">
        <v>0</v>
      </c>
    </row>
    <row r="202" spans="1:16" s="200" customFormat="1" ht="16.5" customHeight="1">
      <c r="A202" s="15"/>
      <c r="B202" s="16" t="s">
        <v>661</v>
      </c>
      <c r="C202" s="7" t="s">
        <v>547</v>
      </c>
      <c r="D202" s="7"/>
      <c r="E202" s="7"/>
      <c r="F202" s="7"/>
      <c r="G202" s="7"/>
      <c r="H202" s="18"/>
      <c r="I202" s="18"/>
      <c r="J202" s="18"/>
      <c r="K202" s="7">
        <v>240451</v>
      </c>
      <c r="L202" s="7">
        <v>236751</v>
      </c>
      <c r="M202" s="312">
        <f t="shared" si="27"/>
        <v>0.9846122494811833</v>
      </c>
      <c r="N202" s="7">
        <v>0</v>
      </c>
      <c r="O202" s="22">
        <f t="shared" si="33"/>
        <v>236751</v>
      </c>
      <c r="P202" s="22">
        <v>0</v>
      </c>
    </row>
    <row r="203" spans="1:16" s="200" customFormat="1" ht="22.5" customHeight="1">
      <c r="A203" s="15"/>
      <c r="B203" s="16" t="s">
        <v>61</v>
      </c>
      <c r="C203" s="137" t="s">
        <v>563</v>
      </c>
      <c r="D203" s="7"/>
      <c r="E203" s="7"/>
      <c r="F203" s="7"/>
      <c r="G203" s="7"/>
      <c r="H203" s="7">
        <v>51059</v>
      </c>
      <c r="I203" s="7">
        <v>0</v>
      </c>
      <c r="J203" s="7">
        <v>0</v>
      </c>
      <c r="K203" s="7">
        <v>239080</v>
      </c>
      <c r="L203" s="7">
        <v>59769</v>
      </c>
      <c r="M203" s="312">
        <f t="shared" si="27"/>
        <v>0.24999581729964865</v>
      </c>
      <c r="N203" s="7">
        <v>0</v>
      </c>
      <c r="O203" s="22">
        <f t="shared" si="33"/>
        <v>59769</v>
      </c>
      <c r="P203" s="22">
        <v>0</v>
      </c>
    </row>
    <row r="204" spans="1:16" s="200" customFormat="1" ht="16.5" customHeight="1">
      <c r="A204" s="213" t="s">
        <v>66</v>
      </c>
      <c r="B204" s="350"/>
      <c r="C204" s="186" t="s">
        <v>67</v>
      </c>
      <c r="D204" s="186" t="e">
        <f>D206+D207+D208+#REF!+D211+#REF!</f>
        <v>#REF!</v>
      </c>
      <c r="E204" s="186" t="e">
        <f>E206+E207+E208+E209+#REF!+E210+E211+#REF!+E214+#REF!+E215+E217+#REF!+E218+E220+#REF!</f>
        <v>#REF!</v>
      </c>
      <c r="F204" s="186" t="e">
        <f>F206+F207+F208+F209+#REF!+F210+F211+#REF!+F214+#REF!+F215+F217+#REF!+F218+F220+#REF!</f>
        <v>#REF!</v>
      </c>
      <c r="G204" s="186" t="e">
        <f>G206+G207+G208+G209+#REF!+G210+G211+#REF!+G214+#REF!+G215+G217+#REF!+G218+G220+#REF!</f>
        <v>#REF!</v>
      </c>
      <c r="H204" s="186" t="e">
        <f>H206+H207+H208+H209+H205+H210+H211+H213+#REF!+H214+#REF!+H215+H217+#REF!+H218+H220+H219</f>
        <v>#REF!</v>
      </c>
      <c r="I204" s="186" t="e">
        <f>I206+I207+I208+I209+I205+I210+I211+I213+#REF!+I214+#REF!+I215+I217+#REF!+I218+I220+I219</f>
        <v>#REF!</v>
      </c>
      <c r="J204" s="186" t="e">
        <f>J206+J207+J208+J209+J205+J210+J211+J213+#REF!+J214+#REF!+J215+J217+#REF!+J218+J220+J219</f>
        <v>#REF!</v>
      </c>
      <c r="K204" s="186">
        <f aca="true" t="shared" si="34" ref="K204:P204">SUM(K205:K220)</f>
        <v>2150273</v>
      </c>
      <c r="L204" s="186">
        <f t="shared" si="34"/>
        <v>651970</v>
      </c>
      <c r="M204" s="185">
        <f t="shared" si="27"/>
        <v>0.3032033606895497</v>
      </c>
      <c r="N204" s="186">
        <f t="shared" si="34"/>
        <v>0</v>
      </c>
      <c r="O204" s="186">
        <f t="shared" si="34"/>
        <v>651970</v>
      </c>
      <c r="P204" s="186">
        <f t="shared" si="34"/>
        <v>0</v>
      </c>
    </row>
    <row r="205" spans="1:16" s="362" customFormat="1" ht="13.5" customHeight="1">
      <c r="A205" s="21"/>
      <c r="B205" s="16" t="s">
        <v>607</v>
      </c>
      <c r="C205" s="187" t="s">
        <v>68</v>
      </c>
      <c r="D205" s="187"/>
      <c r="E205" s="187"/>
      <c r="F205" s="187"/>
      <c r="G205" s="187"/>
      <c r="H205" s="187">
        <v>14208</v>
      </c>
      <c r="I205" s="187">
        <v>0</v>
      </c>
      <c r="J205" s="187">
        <v>0</v>
      </c>
      <c r="K205" s="187">
        <v>0</v>
      </c>
      <c r="L205" s="187">
        <v>0</v>
      </c>
      <c r="M205" s="312">
        <v>0</v>
      </c>
      <c r="N205" s="187">
        <v>0</v>
      </c>
      <c r="O205" s="22">
        <f>L205</f>
        <v>0</v>
      </c>
      <c r="P205" s="22">
        <v>0</v>
      </c>
    </row>
    <row r="206" spans="1:16" s="200" customFormat="1" ht="18" customHeight="1">
      <c r="A206" s="21"/>
      <c r="B206" s="16" t="s">
        <v>619</v>
      </c>
      <c r="C206" s="10" t="s">
        <v>620</v>
      </c>
      <c r="D206" s="7">
        <v>1980166</v>
      </c>
      <c r="E206" s="7">
        <v>1975260</v>
      </c>
      <c r="F206" s="7">
        <v>27891</v>
      </c>
      <c r="G206" s="7">
        <v>26283</v>
      </c>
      <c r="H206" s="7">
        <v>1137604</v>
      </c>
      <c r="I206" s="7">
        <v>0</v>
      </c>
      <c r="J206" s="7">
        <v>0</v>
      </c>
      <c r="K206" s="7">
        <v>1304557</v>
      </c>
      <c r="L206" s="7">
        <v>295465</v>
      </c>
      <c r="M206" s="312">
        <f t="shared" si="27"/>
        <v>0.22648684572617372</v>
      </c>
      <c r="N206" s="7">
        <v>0</v>
      </c>
      <c r="O206" s="22">
        <f aca="true" t="shared" si="35" ref="O206:O222">L206</f>
        <v>295465</v>
      </c>
      <c r="P206" s="22">
        <v>0</v>
      </c>
    </row>
    <row r="207" spans="1:16" s="200" customFormat="1" ht="14.25" customHeight="1">
      <c r="A207" s="21"/>
      <c r="B207" s="16" t="s">
        <v>623</v>
      </c>
      <c r="C207" s="10" t="s">
        <v>624</v>
      </c>
      <c r="D207" s="7">
        <v>123848</v>
      </c>
      <c r="E207" s="7">
        <v>159042</v>
      </c>
      <c r="F207" s="7">
        <v>0</v>
      </c>
      <c r="G207" s="7">
        <v>0</v>
      </c>
      <c r="H207" s="7">
        <v>76054</v>
      </c>
      <c r="I207" s="7">
        <v>0</v>
      </c>
      <c r="J207" s="7">
        <v>0</v>
      </c>
      <c r="K207" s="7">
        <v>114653</v>
      </c>
      <c r="L207" s="7">
        <v>94071</v>
      </c>
      <c r="M207" s="312">
        <f t="shared" si="27"/>
        <v>0.8204844182010065</v>
      </c>
      <c r="N207" s="7">
        <v>0</v>
      </c>
      <c r="O207" s="22">
        <f t="shared" si="35"/>
        <v>94071</v>
      </c>
      <c r="P207" s="22">
        <v>0</v>
      </c>
    </row>
    <row r="208" spans="1:16" s="200" customFormat="1" ht="15" customHeight="1">
      <c r="A208" s="21"/>
      <c r="B208" s="23" t="s">
        <v>675</v>
      </c>
      <c r="C208" s="10" t="s">
        <v>690</v>
      </c>
      <c r="D208" s="7">
        <v>414136</v>
      </c>
      <c r="E208" s="7">
        <v>370552</v>
      </c>
      <c r="F208" s="7">
        <v>2840</v>
      </c>
      <c r="G208" s="7">
        <v>2000</v>
      </c>
      <c r="H208" s="7">
        <v>214800</v>
      </c>
      <c r="I208" s="7">
        <v>0</v>
      </c>
      <c r="J208" s="7">
        <v>0</v>
      </c>
      <c r="K208" s="7">
        <v>222745</v>
      </c>
      <c r="L208" s="7">
        <v>69007</v>
      </c>
      <c r="M208" s="312">
        <f t="shared" si="27"/>
        <v>0.30980268917371884</v>
      </c>
      <c r="N208" s="7">
        <v>0</v>
      </c>
      <c r="O208" s="22">
        <f t="shared" si="35"/>
        <v>69007</v>
      </c>
      <c r="P208" s="22">
        <v>0</v>
      </c>
    </row>
    <row r="209" spans="1:16" s="200" customFormat="1" ht="16.5" customHeight="1">
      <c r="A209" s="21"/>
      <c r="B209" s="23" t="s">
        <v>627</v>
      </c>
      <c r="C209" s="10" t="s">
        <v>628</v>
      </c>
      <c r="D209" s="7"/>
      <c r="E209" s="7">
        <v>50795</v>
      </c>
      <c r="F209" s="7">
        <v>390</v>
      </c>
      <c r="G209" s="7">
        <v>165</v>
      </c>
      <c r="H209" s="7">
        <v>29560</v>
      </c>
      <c r="I209" s="7">
        <v>0</v>
      </c>
      <c r="J209" s="7">
        <v>0</v>
      </c>
      <c r="K209" s="7">
        <v>30143</v>
      </c>
      <c r="L209" s="7">
        <v>9408</v>
      </c>
      <c r="M209" s="312">
        <f t="shared" si="27"/>
        <v>0.3121122648707826</v>
      </c>
      <c r="N209" s="7">
        <v>0</v>
      </c>
      <c r="O209" s="22">
        <f t="shared" si="35"/>
        <v>9408</v>
      </c>
      <c r="P209" s="22">
        <v>0</v>
      </c>
    </row>
    <row r="210" spans="1:16" s="200" customFormat="1" ht="15.75" customHeight="1">
      <c r="A210" s="21"/>
      <c r="B210" s="16" t="s">
        <v>69</v>
      </c>
      <c r="C210" s="7" t="s">
        <v>70</v>
      </c>
      <c r="D210" s="7"/>
      <c r="E210" s="7">
        <v>8110</v>
      </c>
      <c r="F210" s="7">
        <v>0</v>
      </c>
      <c r="G210" s="7">
        <v>0</v>
      </c>
      <c r="H210" s="7">
        <v>300</v>
      </c>
      <c r="I210" s="7">
        <v>0</v>
      </c>
      <c r="J210" s="7">
        <v>0</v>
      </c>
      <c r="K210" s="7">
        <v>5700</v>
      </c>
      <c r="L210" s="7">
        <v>524</v>
      </c>
      <c r="M210" s="312">
        <f t="shared" si="27"/>
        <v>0.09192982456140351</v>
      </c>
      <c r="N210" s="7">
        <v>0</v>
      </c>
      <c r="O210" s="22">
        <f t="shared" si="35"/>
        <v>524</v>
      </c>
      <c r="P210" s="22">
        <v>0</v>
      </c>
    </row>
    <row r="211" spans="1:16" s="200" customFormat="1" ht="15" customHeight="1">
      <c r="A211" s="21"/>
      <c r="B211" s="31">
        <v>4210</v>
      </c>
      <c r="C211" s="7" t="s">
        <v>656</v>
      </c>
      <c r="D211" s="7" t="e">
        <f>#REF!+#REF!</f>
        <v>#REF!</v>
      </c>
      <c r="E211" s="18">
        <v>110063</v>
      </c>
      <c r="F211" s="18">
        <v>262</v>
      </c>
      <c r="G211" s="18">
        <v>0</v>
      </c>
      <c r="H211" s="7">
        <v>94500</v>
      </c>
      <c r="I211" s="7">
        <v>0</v>
      </c>
      <c r="J211" s="7">
        <v>0</v>
      </c>
      <c r="K211" s="7">
        <v>90000</v>
      </c>
      <c r="L211" s="7">
        <v>51205</v>
      </c>
      <c r="M211" s="312">
        <f t="shared" si="27"/>
        <v>0.5689444444444445</v>
      </c>
      <c r="N211" s="7">
        <v>0</v>
      </c>
      <c r="O211" s="22">
        <f t="shared" si="35"/>
        <v>51205</v>
      </c>
      <c r="P211" s="22">
        <v>0</v>
      </c>
    </row>
    <row r="212" spans="1:16" s="200" customFormat="1" ht="15" customHeight="1">
      <c r="A212" s="21"/>
      <c r="B212" s="31">
        <v>4170</v>
      </c>
      <c r="C212" s="7" t="s">
        <v>306</v>
      </c>
      <c r="D212" s="7"/>
      <c r="E212" s="18"/>
      <c r="F212" s="18"/>
      <c r="G212" s="18"/>
      <c r="H212" s="7"/>
      <c r="I212" s="7"/>
      <c r="J212" s="7"/>
      <c r="K212" s="7">
        <v>1000</v>
      </c>
      <c r="L212" s="7">
        <v>0</v>
      </c>
      <c r="M212" s="312">
        <f t="shared" si="27"/>
        <v>0</v>
      </c>
      <c r="N212" s="7"/>
      <c r="O212" s="22">
        <f t="shared" si="35"/>
        <v>0</v>
      </c>
      <c r="P212" s="22"/>
    </row>
    <row r="213" spans="1:16" s="200" customFormat="1" ht="15" customHeight="1">
      <c r="A213" s="21"/>
      <c r="B213" s="31">
        <v>4240</v>
      </c>
      <c r="C213" s="7" t="s">
        <v>59</v>
      </c>
      <c r="D213" s="7"/>
      <c r="E213" s="18"/>
      <c r="F213" s="18"/>
      <c r="G213" s="18"/>
      <c r="H213" s="7">
        <v>3000</v>
      </c>
      <c r="I213" s="7">
        <v>0</v>
      </c>
      <c r="J213" s="7">
        <v>0</v>
      </c>
      <c r="K213" s="7">
        <v>1850</v>
      </c>
      <c r="L213" s="7">
        <v>588</v>
      </c>
      <c r="M213" s="312">
        <f t="shared" si="27"/>
        <v>0.3178378378378378</v>
      </c>
      <c r="N213" s="7">
        <v>0</v>
      </c>
      <c r="O213" s="22">
        <f t="shared" si="35"/>
        <v>588</v>
      </c>
      <c r="P213" s="22">
        <v>0</v>
      </c>
    </row>
    <row r="214" spans="1:16" s="200" customFormat="1" ht="15.75" customHeight="1">
      <c r="A214" s="21"/>
      <c r="B214" s="16" t="s">
        <v>631</v>
      </c>
      <c r="C214" s="7" t="s">
        <v>20</v>
      </c>
      <c r="D214" s="7"/>
      <c r="E214" s="7">
        <v>137000</v>
      </c>
      <c r="F214" s="7">
        <v>8000</v>
      </c>
      <c r="G214" s="7">
        <v>0</v>
      </c>
      <c r="H214" s="7">
        <v>38000</v>
      </c>
      <c r="I214" s="7">
        <v>0</v>
      </c>
      <c r="J214" s="7">
        <v>0</v>
      </c>
      <c r="K214" s="7">
        <v>31800</v>
      </c>
      <c r="L214" s="7">
        <v>11684</v>
      </c>
      <c r="M214" s="312">
        <f t="shared" si="27"/>
        <v>0.36742138364779875</v>
      </c>
      <c r="N214" s="7">
        <v>0</v>
      </c>
      <c r="O214" s="22">
        <f t="shared" si="35"/>
        <v>11684</v>
      </c>
      <c r="P214" s="22">
        <v>0</v>
      </c>
    </row>
    <row r="215" spans="1:16" s="200" customFormat="1" ht="16.5" customHeight="1">
      <c r="A215" s="21"/>
      <c r="B215" s="16" t="s">
        <v>635</v>
      </c>
      <c r="C215" s="7" t="s">
        <v>636</v>
      </c>
      <c r="D215" s="7"/>
      <c r="E215" s="7">
        <v>58100</v>
      </c>
      <c r="F215" s="7">
        <v>0</v>
      </c>
      <c r="G215" s="7">
        <v>4500</v>
      </c>
      <c r="H215" s="7">
        <v>30000</v>
      </c>
      <c r="I215" s="7">
        <v>0</v>
      </c>
      <c r="J215" s="7">
        <v>0</v>
      </c>
      <c r="K215" s="7">
        <v>30588</v>
      </c>
      <c r="L215" s="7">
        <v>18441</v>
      </c>
      <c r="M215" s="312">
        <f t="shared" si="27"/>
        <v>0.6028834837191055</v>
      </c>
      <c r="N215" s="7">
        <v>0</v>
      </c>
      <c r="O215" s="22">
        <f t="shared" si="35"/>
        <v>18441</v>
      </c>
      <c r="P215" s="22">
        <v>0</v>
      </c>
    </row>
    <row r="216" spans="1:16" s="200" customFormat="1" ht="16.5" customHeight="1">
      <c r="A216" s="21"/>
      <c r="B216" s="16" t="s">
        <v>484</v>
      </c>
      <c r="C216" s="7" t="s">
        <v>485</v>
      </c>
      <c r="D216" s="7"/>
      <c r="E216" s="7"/>
      <c r="F216" s="7"/>
      <c r="G216" s="7"/>
      <c r="H216" s="7"/>
      <c r="I216" s="7"/>
      <c r="J216" s="7"/>
      <c r="K216" s="7">
        <v>4200</v>
      </c>
      <c r="L216" s="7">
        <v>1215</v>
      </c>
      <c r="M216" s="312">
        <f t="shared" si="27"/>
        <v>0.2892857142857143</v>
      </c>
      <c r="N216" s="7"/>
      <c r="O216" s="22">
        <f t="shared" si="35"/>
        <v>1215</v>
      </c>
      <c r="P216" s="22"/>
    </row>
    <row r="217" spans="1:16" s="200" customFormat="1" ht="17.25" customHeight="1">
      <c r="A217" s="21"/>
      <c r="B217" s="16" t="s">
        <v>637</v>
      </c>
      <c r="C217" s="7" t="s">
        <v>638</v>
      </c>
      <c r="D217" s="7"/>
      <c r="E217" s="7">
        <v>7500</v>
      </c>
      <c r="F217" s="7">
        <v>1200</v>
      </c>
      <c r="G217" s="7">
        <v>0</v>
      </c>
      <c r="H217" s="7">
        <v>3500</v>
      </c>
      <c r="I217" s="7">
        <v>0</v>
      </c>
      <c r="J217" s="7">
        <v>0</v>
      </c>
      <c r="K217" s="7">
        <v>3900</v>
      </c>
      <c r="L217" s="7">
        <v>780</v>
      </c>
      <c r="M217" s="312">
        <f t="shared" si="27"/>
        <v>0.2</v>
      </c>
      <c r="N217" s="7">
        <v>0</v>
      </c>
      <c r="O217" s="22">
        <f t="shared" si="35"/>
        <v>780</v>
      </c>
      <c r="P217" s="22">
        <v>0</v>
      </c>
    </row>
    <row r="218" spans="1:16" s="200" customFormat="1" ht="15.75" customHeight="1">
      <c r="A218" s="21"/>
      <c r="B218" s="16" t="s">
        <v>641</v>
      </c>
      <c r="C218" s="7" t="s">
        <v>642</v>
      </c>
      <c r="D218" s="7"/>
      <c r="E218" s="7">
        <v>126309</v>
      </c>
      <c r="F218" s="7">
        <v>0</v>
      </c>
      <c r="G218" s="7">
        <v>700</v>
      </c>
      <c r="H218" s="7">
        <v>60789</v>
      </c>
      <c r="I218" s="7">
        <v>0</v>
      </c>
      <c r="J218" s="7">
        <v>0</v>
      </c>
      <c r="K218" s="7">
        <v>68190</v>
      </c>
      <c r="L218" s="7">
        <v>26500</v>
      </c>
      <c r="M218" s="312">
        <f aca="true" t="shared" si="36" ref="M218:M278">L218/K218</f>
        <v>0.3886200322627951</v>
      </c>
      <c r="N218" s="7">
        <v>0</v>
      </c>
      <c r="O218" s="22">
        <f t="shared" si="35"/>
        <v>26500</v>
      </c>
      <c r="P218" s="22">
        <v>0</v>
      </c>
    </row>
    <row r="219" spans="1:16" s="200" customFormat="1" ht="14.25" customHeight="1">
      <c r="A219" s="21"/>
      <c r="B219" s="16" t="s">
        <v>657</v>
      </c>
      <c r="C219" s="7" t="s">
        <v>658</v>
      </c>
      <c r="D219" s="7"/>
      <c r="E219" s="7"/>
      <c r="F219" s="7"/>
      <c r="G219" s="7"/>
      <c r="H219" s="7">
        <v>1021</v>
      </c>
      <c r="I219" s="7">
        <v>0</v>
      </c>
      <c r="J219" s="7">
        <v>0</v>
      </c>
      <c r="K219" s="7">
        <v>1100</v>
      </c>
      <c r="L219" s="7">
        <v>606</v>
      </c>
      <c r="M219" s="312">
        <f t="shared" si="36"/>
        <v>0.5509090909090909</v>
      </c>
      <c r="N219" s="7">
        <v>0</v>
      </c>
      <c r="O219" s="22">
        <f t="shared" si="35"/>
        <v>606</v>
      </c>
      <c r="P219" s="22">
        <v>0</v>
      </c>
    </row>
    <row r="220" spans="1:16" s="200" customFormat="1" ht="15" customHeight="1">
      <c r="A220" s="21"/>
      <c r="B220" s="16" t="s">
        <v>61</v>
      </c>
      <c r="C220" s="137" t="s">
        <v>71</v>
      </c>
      <c r="D220" s="7"/>
      <c r="E220" s="7" t="e">
        <f>E221+#REF!</f>
        <v>#REF!</v>
      </c>
      <c r="F220" s="7" t="e">
        <f>F221+#REF!</f>
        <v>#REF!</v>
      </c>
      <c r="G220" s="7" t="e">
        <f>G221+#REF!</f>
        <v>#REF!</v>
      </c>
      <c r="H220" s="7" t="e">
        <f>H221+#REF!+H222</f>
        <v>#REF!</v>
      </c>
      <c r="I220" s="7">
        <v>0</v>
      </c>
      <c r="J220" s="7">
        <v>0</v>
      </c>
      <c r="K220" s="7">
        <f>K221+K222</f>
        <v>239847</v>
      </c>
      <c r="L220" s="7">
        <f>L221+L222</f>
        <v>72476</v>
      </c>
      <c r="M220" s="312">
        <f t="shared" si="36"/>
        <v>0.3021759705145364</v>
      </c>
      <c r="N220" s="7">
        <v>0</v>
      </c>
      <c r="O220" s="22">
        <f t="shared" si="35"/>
        <v>72476</v>
      </c>
      <c r="P220" s="22">
        <v>0</v>
      </c>
    </row>
    <row r="221" spans="1:16" s="200" customFormat="1" ht="13.5" customHeight="1">
      <c r="A221" s="21"/>
      <c r="B221" s="16"/>
      <c r="C221" s="7" t="s">
        <v>72</v>
      </c>
      <c r="D221" s="7"/>
      <c r="E221" s="7">
        <v>246759</v>
      </c>
      <c r="F221" s="7">
        <v>0</v>
      </c>
      <c r="G221" s="7">
        <v>72750</v>
      </c>
      <c r="H221" s="7">
        <v>62124</v>
      </c>
      <c r="I221" s="7">
        <v>0</v>
      </c>
      <c r="J221" s="7">
        <v>0</v>
      </c>
      <c r="K221" s="7">
        <v>48687</v>
      </c>
      <c r="L221" s="7">
        <v>17185</v>
      </c>
      <c r="M221" s="312">
        <f t="shared" si="36"/>
        <v>0.35296896502146363</v>
      </c>
      <c r="N221" s="7">
        <v>0</v>
      </c>
      <c r="O221" s="22">
        <f t="shared" si="35"/>
        <v>17185</v>
      </c>
      <c r="P221" s="22">
        <v>0</v>
      </c>
    </row>
    <row r="222" spans="1:16" s="200" customFormat="1" ht="13.5" customHeight="1">
      <c r="A222" s="21"/>
      <c r="B222" s="7"/>
      <c r="C222" s="7" t="s">
        <v>73</v>
      </c>
      <c r="D222" s="7"/>
      <c r="E222" s="7"/>
      <c r="F222" s="7"/>
      <c r="G222" s="7"/>
      <c r="H222" s="7">
        <v>171443</v>
      </c>
      <c r="I222" s="7">
        <v>0</v>
      </c>
      <c r="J222" s="7">
        <v>0</v>
      </c>
      <c r="K222" s="7">
        <v>191160</v>
      </c>
      <c r="L222" s="7">
        <v>55291</v>
      </c>
      <c r="M222" s="312">
        <f t="shared" si="36"/>
        <v>0.2892393806235614</v>
      </c>
      <c r="N222" s="7">
        <v>0</v>
      </c>
      <c r="O222" s="22">
        <f t="shared" si="35"/>
        <v>55291</v>
      </c>
      <c r="P222" s="22">
        <v>0</v>
      </c>
    </row>
    <row r="223" spans="1:16" s="200" customFormat="1" ht="18.75" customHeight="1">
      <c r="A223" s="215" t="s">
        <v>564</v>
      </c>
      <c r="B223" s="186"/>
      <c r="C223" s="186" t="s">
        <v>565</v>
      </c>
      <c r="D223" s="186"/>
      <c r="E223" s="186"/>
      <c r="F223" s="186"/>
      <c r="G223" s="186"/>
      <c r="H223" s="186" t="e">
        <f>H224+H226+H227+H228+H229+H230+H231+#REF!</f>
        <v>#REF!</v>
      </c>
      <c r="I223" s="186" t="e">
        <f>I224+I226+I227+I228+I229+I230+I231+#REF!</f>
        <v>#REF!</v>
      </c>
      <c r="J223" s="186" t="e">
        <f>J224+J226+J227+J228+J229+J230+J231+#REF!</f>
        <v>#REF!</v>
      </c>
      <c r="K223" s="186">
        <f>SUM(K224:K231)</f>
        <v>966176</v>
      </c>
      <c r="L223" s="186">
        <f>SUM(L224:L231)</f>
        <v>280638</v>
      </c>
      <c r="M223" s="185">
        <f t="shared" si="36"/>
        <v>0.29046260722684064</v>
      </c>
      <c r="N223" s="186">
        <f>N224+N226+N227+N228+N229+N230+N231+N225</f>
        <v>0</v>
      </c>
      <c r="O223" s="186">
        <f>O224+O226+O227+O228+O229+O230+O231+O225</f>
        <v>280638</v>
      </c>
      <c r="P223" s="186">
        <f>P224+P226+P227+P228+P229+P230+P231+P225</f>
        <v>0</v>
      </c>
    </row>
    <row r="224" spans="1:16" s="200" customFormat="1" ht="13.5" customHeight="1">
      <c r="A224" s="21"/>
      <c r="B224" s="7">
        <v>4010</v>
      </c>
      <c r="C224" s="10" t="s">
        <v>620</v>
      </c>
      <c r="D224" s="7"/>
      <c r="E224" s="7"/>
      <c r="F224" s="7"/>
      <c r="G224" s="7"/>
      <c r="H224" s="7">
        <v>322855</v>
      </c>
      <c r="I224" s="7">
        <v>0</v>
      </c>
      <c r="J224" s="7">
        <v>0</v>
      </c>
      <c r="K224" s="7">
        <v>686900</v>
      </c>
      <c r="L224" s="7">
        <v>178040</v>
      </c>
      <c r="M224" s="312">
        <f t="shared" si="36"/>
        <v>0.25919347794438785</v>
      </c>
      <c r="N224" s="7">
        <v>0</v>
      </c>
      <c r="O224" s="22">
        <f>L224</f>
        <v>178040</v>
      </c>
      <c r="P224" s="22">
        <v>0</v>
      </c>
    </row>
    <row r="225" spans="1:16" s="200" customFormat="1" ht="13.5" customHeight="1">
      <c r="A225" s="21"/>
      <c r="B225" s="7">
        <v>4040</v>
      </c>
      <c r="C225" s="10" t="s">
        <v>624</v>
      </c>
      <c r="D225" s="7"/>
      <c r="E225" s="7"/>
      <c r="F225" s="7"/>
      <c r="G225" s="7"/>
      <c r="H225" s="7"/>
      <c r="I225" s="7"/>
      <c r="J225" s="7"/>
      <c r="K225" s="7">
        <v>54345</v>
      </c>
      <c r="L225" s="7">
        <v>54240</v>
      </c>
      <c r="M225" s="312">
        <f t="shared" si="36"/>
        <v>0.9980678995307756</v>
      </c>
      <c r="N225" s="7">
        <v>0</v>
      </c>
      <c r="O225" s="22">
        <f aca="true" t="shared" si="37" ref="O225:O231">L225</f>
        <v>54240</v>
      </c>
      <c r="P225" s="22">
        <v>0</v>
      </c>
    </row>
    <row r="226" spans="1:16" s="200" customFormat="1" ht="13.5" customHeight="1">
      <c r="A226" s="21"/>
      <c r="B226" s="7">
        <v>4110</v>
      </c>
      <c r="C226" s="10" t="s">
        <v>690</v>
      </c>
      <c r="D226" s="7"/>
      <c r="E226" s="7"/>
      <c r="F226" s="7"/>
      <c r="G226" s="7"/>
      <c r="H226" s="7">
        <v>58061</v>
      </c>
      <c r="I226" s="7">
        <v>0</v>
      </c>
      <c r="J226" s="7">
        <v>0</v>
      </c>
      <c r="K226" s="7">
        <v>130202</v>
      </c>
      <c r="L226" s="7">
        <v>38016</v>
      </c>
      <c r="M226" s="312">
        <f t="shared" si="36"/>
        <v>0.29197708176525705</v>
      </c>
      <c r="N226" s="7">
        <v>0</v>
      </c>
      <c r="O226" s="22">
        <f t="shared" si="37"/>
        <v>38016</v>
      </c>
      <c r="P226" s="22">
        <v>0</v>
      </c>
    </row>
    <row r="227" spans="1:16" s="200" customFormat="1" ht="13.5" customHeight="1">
      <c r="A227" s="21"/>
      <c r="B227" s="7">
        <v>4120</v>
      </c>
      <c r="C227" s="10" t="s">
        <v>628</v>
      </c>
      <c r="D227" s="7"/>
      <c r="E227" s="7"/>
      <c r="F227" s="7"/>
      <c r="G227" s="7"/>
      <c r="H227" s="7">
        <v>7696</v>
      </c>
      <c r="I227" s="7">
        <v>0</v>
      </c>
      <c r="J227" s="7">
        <v>0</v>
      </c>
      <c r="K227" s="7">
        <v>17732</v>
      </c>
      <c r="L227" s="7">
        <v>5459</v>
      </c>
      <c r="M227" s="312">
        <f t="shared" si="36"/>
        <v>0.30786149334536433</v>
      </c>
      <c r="N227" s="7">
        <v>0</v>
      </c>
      <c r="O227" s="22">
        <f t="shared" si="37"/>
        <v>5459</v>
      </c>
      <c r="P227" s="22">
        <v>0</v>
      </c>
    </row>
    <row r="228" spans="1:16" s="200" customFormat="1" ht="13.5" customHeight="1">
      <c r="A228" s="21"/>
      <c r="B228" s="7">
        <v>4210</v>
      </c>
      <c r="C228" s="7" t="s">
        <v>656</v>
      </c>
      <c r="D228" s="7"/>
      <c r="E228" s="7"/>
      <c r="F228" s="7"/>
      <c r="G228" s="7"/>
      <c r="H228" s="7">
        <v>44979</v>
      </c>
      <c r="I228" s="7">
        <v>0</v>
      </c>
      <c r="J228" s="7">
        <v>0</v>
      </c>
      <c r="K228" s="7">
        <v>2040</v>
      </c>
      <c r="L228" s="7">
        <v>537</v>
      </c>
      <c r="M228" s="312">
        <f t="shared" si="36"/>
        <v>0.26323529411764707</v>
      </c>
      <c r="N228" s="7">
        <v>0</v>
      </c>
      <c r="O228" s="22">
        <f t="shared" si="37"/>
        <v>537</v>
      </c>
      <c r="P228" s="22">
        <v>0</v>
      </c>
    </row>
    <row r="229" spans="1:16" s="200" customFormat="1" ht="13.5" customHeight="1">
      <c r="A229" s="21"/>
      <c r="B229" s="7">
        <v>4260</v>
      </c>
      <c r="C229" s="7" t="s">
        <v>20</v>
      </c>
      <c r="D229" s="7"/>
      <c r="E229" s="7"/>
      <c r="F229" s="7"/>
      <c r="G229" s="7"/>
      <c r="H229" s="7">
        <v>12000</v>
      </c>
      <c r="I229" s="7">
        <v>0</v>
      </c>
      <c r="J229" s="7">
        <v>0</v>
      </c>
      <c r="K229" s="7">
        <v>17200</v>
      </c>
      <c r="L229" s="7">
        <v>4346</v>
      </c>
      <c r="M229" s="312">
        <f t="shared" si="36"/>
        <v>0.2526744186046512</v>
      </c>
      <c r="N229" s="7">
        <v>0</v>
      </c>
      <c r="O229" s="22">
        <f t="shared" si="37"/>
        <v>4346</v>
      </c>
      <c r="P229" s="22">
        <v>0</v>
      </c>
    </row>
    <row r="230" spans="1:16" s="200" customFormat="1" ht="13.5" customHeight="1">
      <c r="A230" s="21"/>
      <c r="B230" s="7">
        <v>4300</v>
      </c>
      <c r="C230" s="7" t="s">
        <v>636</v>
      </c>
      <c r="D230" s="7"/>
      <c r="E230" s="7"/>
      <c r="F230" s="7"/>
      <c r="G230" s="7"/>
      <c r="H230" s="7">
        <v>4664</v>
      </c>
      <c r="I230" s="7">
        <v>0</v>
      </c>
      <c r="J230" s="7">
        <v>0</v>
      </c>
      <c r="K230" s="7">
        <v>10600</v>
      </c>
      <c r="L230" s="7">
        <v>0</v>
      </c>
      <c r="M230" s="312">
        <f t="shared" si="36"/>
        <v>0</v>
      </c>
      <c r="N230" s="7">
        <v>0</v>
      </c>
      <c r="O230" s="22">
        <f t="shared" si="37"/>
        <v>0</v>
      </c>
      <c r="P230" s="22">
        <v>0</v>
      </c>
    </row>
    <row r="231" spans="1:16" s="200" customFormat="1" ht="13.5" customHeight="1">
      <c r="A231" s="21"/>
      <c r="B231" s="7">
        <v>4440</v>
      </c>
      <c r="C231" s="7" t="s">
        <v>642</v>
      </c>
      <c r="D231" s="7"/>
      <c r="E231" s="7"/>
      <c r="F231" s="7"/>
      <c r="G231" s="7"/>
      <c r="H231" s="7">
        <v>15378</v>
      </c>
      <c r="I231" s="7">
        <v>0</v>
      </c>
      <c r="J231" s="7">
        <v>0</v>
      </c>
      <c r="K231" s="7">
        <v>47157</v>
      </c>
      <c r="L231" s="7">
        <v>0</v>
      </c>
      <c r="M231" s="312">
        <f t="shared" si="36"/>
        <v>0</v>
      </c>
      <c r="N231" s="7">
        <v>0</v>
      </c>
      <c r="O231" s="22">
        <f t="shared" si="37"/>
        <v>0</v>
      </c>
      <c r="P231" s="22">
        <v>0</v>
      </c>
    </row>
    <row r="232" spans="1:16" s="200" customFormat="1" ht="18.75" customHeight="1">
      <c r="A232" s="215" t="s">
        <v>74</v>
      </c>
      <c r="B232" s="226"/>
      <c r="C232" s="186" t="s">
        <v>75</v>
      </c>
      <c r="D232" s="186">
        <f>D234+D235+D236+D233</f>
        <v>1881934</v>
      </c>
      <c r="E232" s="186" t="e">
        <f>E234+E235+E236+E237+#REF!+E233+E240+E241+E242+#REF!+E244+E246+#REF!+E248+E251+#REF!</f>
        <v>#REF!</v>
      </c>
      <c r="F232" s="186" t="e">
        <f>F234+F235+F236+F237+#REF!+F233+F240+F241+F242+#REF!+F244+F246+#REF!+F248+F251+#REF!</f>
        <v>#REF!</v>
      </c>
      <c r="G232" s="186" t="e">
        <f>G234+G235+G236+G237+#REF!+G233+G240+G241+G242+#REF!+G244+G246+#REF!+G248+G251+#REF!</f>
        <v>#REF!</v>
      </c>
      <c r="H232" s="186" t="e">
        <f>H234+H235+H236+H237+#REF!+H233+H240+H241+H242+#REF!+H244+H246+#REF!+H248+H251+#REF!+H238+H249+#REF!+#REF!</f>
        <v>#REF!</v>
      </c>
      <c r="I232" s="186" t="e">
        <f>I234+I235+I236+I237+#REF!+I233+I240+I241+I242+#REF!+I244+I246+#REF!+I248+I251+#REF!+I238+I249+#REF!+#REF!</f>
        <v>#REF!</v>
      </c>
      <c r="J232" s="186" t="e">
        <f>J234+J235+J236+J237+#REF!+J233+J240+J241+J242+#REF!+J244+J246+#REF!+J248+J251+#REF!+J238+J249+#REF!+#REF!</f>
        <v>#REF!</v>
      </c>
      <c r="K232" s="186">
        <f>SUM(K233:K251)</f>
        <v>4532491</v>
      </c>
      <c r="L232" s="186">
        <f>SUM(L233:L251)</f>
        <v>1455095</v>
      </c>
      <c r="M232" s="185">
        <f t="shared" si="36"/>
        <v>0.32103648964774556</v>
      </c>
      <c r="N232" s="186">
        <f>SUM(N233:N251)</f>
        <v>0</v>
      </c>
      <c r="O232" s="186">
        <f>SUM(O233:O251)</f>
        <v>1455095</v>
      </c>
      <c r="P232" s="186">
        <f>P234+P235+P236+P237+P233+P239+P240+P241+P242+P244+P245+P246+P247+P248+P250+P251+P238+P249</f>
        <v>0</v>
      </c>
    </row>
    <row r="233" spans="1:16" s="200" customFormat="1" ht="14.25" customHeight="1">
      <c r="A233" s="21"/>
      <c r="B233" s="16" t="s">
        <v>607</v>
      </c>
      <c r="C233" s="10" t="s">
        <v>76</v>
      </c>
      <c r="D233" s="7">
        <v>262062</v>
      </c>
      <c r="E233" s="7">
        <v>7439</v>
      </c>
      <c r="F233" s="7">
        <v>0</v>
      </c>
      <c r="G233" s="7">
        <v>0</v>
      </c>
      <c r="H233" s="7">
        <v>4872</v>
      </c>
      <c r="I233" s="7">
        <v>0</v>
      </c>
      <c r="J233" s="7">
        <v>0</v>
      </c>
      <c r="K233" s="7">
        <v>0</v>
      </c>
      <c r="L233" s="7">
        <v>0</v>
      </c>
      <c r="M233" s="312">
        <v>0</v>
      </c>
      <c r="N233" s="7">
        <v>0</v>
      </c>
      <c r="O233" s="22">
        <f>L233</f>
        <v>0</v>
      </c>
      <c r="P233" s="22">
        <v>0</v>
      </c>
    </row>
    <row r="234" spans="1:16" s="200" customFormat="1" ht="14.25" customHeight="1">
      <c r="A234" s="21"/>
      <c r="B234" s="16" t="s">
        <v>619</v>
      </c>
      <c r="C234" s="10" t="s">
        <v>620</v>
      </c>
      <c r="D234" s="7">
        <v>1306363</v>
      </c>
      <c r="E234" s="7">
        <v>2620120</v>
      </c>
      <c r="F234" s="7">
        <v>76198</v>
      </c>
      <c r="G234" s="7">
        <v>0</v>
      </c>
      <c r="H234" s="7">
        <v>2507234</v>
      </c>
      <c r="I234" s="7">
        <v>0</v>
      </c>
      <c r="J234" s="7">
        <v>0</v>
      </c>
      <c r="K234" s="7">
        <v>2696867</v>
      </c>
      <c r="L234" s="7">
        <v>698650</v>
      </c>
      <c r="M234" s="312">
        <f t="shared" si="36"/>
        <v>0.2590598646503517</v>
      </c>
      <c r="N234" s="7">
        <v>0</v>
      </c>
      <c r="O234" s="22">
        <f aca="true" t="shared" si="38" ref="O234:O253">L234</f>
        <v>698650</v>
      </c>
      <c r="P234" s="22">
        <v>0</v>
      </c>
    </row>
    <row r="235" spans="1:16" s="200" customFormat="1" ht="14.25" customHeight="1">
      <c r="A235" s="21"/>
      <c r="B235" s="16" t="s">
        <v>623</v>
      </c>
      <c r="C235" s="10" t="s">
        <v>624</v>
      </c>
      <c r="D235" s="7">
        <v>74072</v>
      </c>
      <c r="E235" s="7">
        <v>90144</v>
      </c>
      <c r="F235" s="7">
        <v>0</v>
      </c>
      <c r="G235" s="7">
        <v>0</v>
      </c>
      <c r="H235" s="7">
        <v>229094</v>
      </c>
      <c r="I235" s="7">
        <v>0</v>
      </c>
      <c r="J235" s="7">
        <v>0</v>
      </c>
      <c r="K235" s="7">
        <v>229366</v>
      </c>
      <c r="L235" s="7">
        <v>229366</v>
      </c>
      <c r="M235" s="312">
        <f t="shared" si="36"/>
        <v>1</v>
      </c>
      <c r="N235" s="7">
        <v>0</v>
      </c>
      <c r="O235" s="22">
        <f t="shared" si="38"/>
        <v>229366</v>
      </c>
      <c r="P235" s="22">
        <v>0</v>
      </c>
    </row>
    <row r="236" spans="1:16" s="200" customFormat="1" ht="12.75" customHeight="1">
      <c r="A236" s="21"/>
      <c r="B236" s="23" t="s">
        <v>675</v>
      </c>
      <c r="C236" s="10" t="s">
        <v>690</v>
      </c>
      <c r="D236" s="7">
        <v>239437</v>
      </c>
      <c r="E236" s="7">
        <v>480155</v>
      </c>
      <c r="F236" s="7">
        <v>6005</v>
      </c>
      <c r="G236" s="7">
        <v>0</v>
      </c>
      <c r="H236" s="7">
        <v>471989</v>
      </c>
      <c r="I236" s="7">
        <v>0</v>
      </c>
      <c r="J236" s="7">
        <v>0</v>
      </c>
      <c r="K236" s="7">
        <v>510820</v>
      </c>
      <c r="L236" s="7">
        <v>163310</v>
      </c>
      <c r="M236" s="312">
        <f t="shared" si="36"/>
        <v>0.3197016561606828</v>
      </c>
      <c r="N236" s="7">
        <v>0</v>
      </c>
      <c r="O236" s="22">
        <f t="shared" si="38"/>
        <v>163310</v>
      </c>
      <c r="P236" s="22">
        <v>0</v>
      </c>
    </row>
    <row r="237" spans="1:16" s="200" customFormat="1" ht="15" customHeight="1">
      <c r="A237" s="21"/>
      <c r="B237" s="23" t="s">
        <v>627</v>
      </c>
      <c r="C237" s="10" t="s">
        <v>628</v>
      </c>
      <c r="D237" s="7"/>
      <c r="E237" s="7">
        <v>62713</v>
      </c>
      <c r="F237" s="7">
        <v>822</v>
      </c>
      <c r="G237" s="7">
        <v>0</v>
      </c>
      <c r="H237" s="7">
        <v>64920</v>
      </c>
      <c r="I237" s="7">
        <v>0</v>
      </c>
      <c r="J237" s="7">
        <v>0</v>
      </c>
      <c r="K237" s="7">
        <v>69612</v>
      </c>
      <c r="L237" s="7">
        <v>23238</v>
      </c>
      <c r="M237" s="312">
        <f t="shared" si="36"/>
        <v>0.33382175486985005</v>
      </c>
      <c r="N237" s="7">
        <v>0</v>
      </c>
      <c r="O237" s="22">
        <f t="shared" si="38"/>
        <v>23238</v>
      </c>
      <c r="P237" s="22">
        <v>0</v>
      </c>
    </row>
    <row r="238" spans="1:16" s="200" customFormat="1" ht="14.25" customHeight="1">
      <c r="A238" s="21"/>
      <c r="B238" s="16" t="s">
        <v>69</v>
      </c>
      <c r="C238" s="10" t="s">
        <v>77</v>
      </c>
      <c r="D238" s="7"/>
      <c r="E238" s="7"/>
      <c r="F238" s="7"/>
      <c r="G238" s="7"/>
      <c r="H238" s="7">
        <v>8642</v>
      </c>
      <c r="I238" s="7">
        <v>0</v>
      </c>
      <c r="J238" s="7">
        <v>0</v>
      </c>
      <c r="K238" s="7">
        <v>6100</v>
      </c>
      <c r="L238" s="7">
        <v>0</v>
      </c>
      <c r="M238" s="312">
        <f t="shared" si="36"/>
        <v>0</v>
      </c>
      <c r="N238" s="7">
        <v>0</v>
      </c>
      <c r="O238" s="22">
        <f t="shared" si="38"/>
        <v>0</v>
      </c>
      <c r="P238" s="22">
        <v>0</v>
      </c>
    </row>
    <row r="239" spans="1:16" s="200" customFormat="1" ht="14.25" customHeight="1">
      <c r="A239" s="21"/>
      <c r="B239" s="16" t="s">
        <v>470</v>
      </c>
      <c r="C239" s="10" t="s">
        <v>483</v>
      </c>
      <c r="D239" s="7"/>
      <c r="E239" s="7"/>
      <c r="F239" s="7"/>
      <c r="G239" s="7"/>
      <c r="H239" s="7"/>
      <c r="I239" s="7"/>
      <c r="J239" s="7"/>
      <c r="K239" s="7">
        <v>9500</v>
      </c>
      <c r="L239" s="7">
        <v>424</v>
      </c>
      <c r="M239" s="312">
        <f t="shared" si="36"/>
        <v>0.04463157894736842</v>
      </c>
      <c r="N239" s="7">
        <v>0</v>
      </c>
      <c r="O239" s="22">
        <f t="shared" si="38"/>
        <v>424</v>
      </c>
      <c r="P239" s="22">
        <v>0</v>
      </c>
    </row>
    <row r="240" spans="1:16" s="200" customFormat="1" ht="15" customHeight="1">
      <c r="A240" s="21"/>
      <c r="B240" s="16" t="s">
        <v>629</v>
      </c>
      <c r="C240" s="7" t="s">
        <v>656</v>
      </c>
      <c r="D240" s="7"/>
      <c r="E240" s="7">
        <v>262668</v>
      </c>
      <c r="F240" s="7">
        <v>7750</v>
      </c>
      <c r="G240" s="7">
        <v>0</v>
      </c>
      <c r="H240" s="7">
        <v>374867</v>
      </c>
      <c r="I240" s="7">
        <v>0</v>
      </c>
      <c r="J240" s="7">
        <v>0</v>
      </c>
      <c r="K240" s="7">
        <v>539362</v>
      </c>
      <c r="L240" s="7">
        <v>229937</v>
      </c>
      <c r="M240" s="312">
        <f t="shared" si="36"/>
        <v>0.4263129401033072</v>
      </c>
      <c r="N240" s="7">
        <v>0</v>
      </c>
      <c r="O240" s="22">
        <f t="shared" si="38"/>
        <v>229937</v>
      </c>
      <c r="P240" s="22">
        <v>0</v>
      </c>
    </row>
    <row r="241" spans="1:16" s="200" customFormat="1" ht="13.5" customHeight="1">
      <c r="A241" s="21"/>
      <c r="B241" s="16" t="s">
        <v>58</v>
      </c>
      <c r="C241" s="7" t="s">
        <v>59</v>
      </c>
      <c r="D241" s="7"/>
      <c r="E241" s="7">
        <v>5206</v>
      </c>
      <c r="F241" s="7">
        <v>0</v>
      </c>
      <c r="G241" s="7">
        <v>1000</v>
      </c>
      <c r="H241" s="7">
        <v>6041</v>
      </c>
      <c r="I241" s="7">
        <v>0</v>
      </c>
      <c r="J241" s="7">
        <v>0</v>
      </c>
      <c r="K241" s="7">
        <v>8200</v>
      </c>
      <c r="L241" s="7">
        <v>855</v>
      </c>
      <c r="M241" s="312">
        <f t="shared" si="36"/>
        <v>0.10426829268292682</v>
      </c>
      <c r="N241" s="7">
        <v>0</v>
      </c>
      <c r="O241" s="22">
        <f t="shared" si="38"/>
        <v>855</v>
      </c>
      <c r="P241" s="22">
        <v>0</v>
      </c>
    </row>
    <row r="242" spans="1:16" s="200" customFormat="1" ht="14.25" customHeight="1">
      <c r="A242" s="21"/>
      <c r="B242" s="16" t="s">
        <v>631</v>
      </c>
      <c r="C242" s="7" t="s">
        <v>20</v>
      </c>
      <c r="D242" s="7"/>
      <c r="E242" s="7">
        <v>47707</v>
      </c>
      <c r="F242" s="7">
        <v>0</v>
      </c>
      <c r="G242" s="7">
        <v>3000</v>
      </c>
      <c r="H242" s="7">
        <v>88260</v>
      </c>
      <c r="I242" s="7">
        <v>0</v>
      </c>
      <c r="J242" s="7">
        <v>0</v>
      </c>
      <c r="K242" s="7">
        <v>65278</v>
      </c>
      <c r="L242" s="7">
        <v>30353</v>
      </c>
      <c r="M242" s="312">
        <f t="shared" si="36"/>
        <v>0.4649805447470817</v>
      </c>
      <c r="N242" s="7">
        <v>0</v>
      </c>
      <c r="O242" s="22">
        <f t="shared" si="38"/>
        <v>30353</v>
      </c>
      <c r="P242" s="22">
        <v>0</v>
      </c>
    </row>
    <row r="243" spans="1:16" s="200" customFormat="1" ht="14.25" customHeight="1">
      <c r="A243" s="21"/>
      <c r="B243" s="16" t="s">
        <v>697</v>
      </c>
      <c r="C243" s="7" t="s">
        <v>698</v>
      </c>
      <c r="D243" s="7"/>
      <c r="E243" s="7"/>
      <c r="F243" s="7"/>
      <c r="G243" s="7"/>
      <c r="H243" s="7"/>
      <c r="I243" s="7"/>
      <c r="J243" s="7"/>
      <c r="K243" s="7">
        <v>2625</v>
      </c>
      <c r="L243" s="7">
        <v>0</v>
      </c>
      <c r="M243" s="312">
        <f t="shared" si="36"/>
        <v>0</v>
      </c>
      <c r="N243" s="7"/>
      <c r="O243" s="22">
        <f t="shared" si="38"/>
        <v>0</v>
      </c>
      <c r="P243" s="22">
        <v>0</v>
      </c>
    </row>
    <row r="244" spans="1:16" s="200" customFormat="1" ht="14.25" customHeight="1">
      <c r="A244" s="21"/>
      <c r="B244" s="16" t="s">
        <v>635</v>
      </c>
      <c r="C244" s="7" t="s">
        <v>22</v>
      </c>
      <c r="D244" s="7"/>
      <c r="E244" s="7">
        <v>36614</v>
      </c>
      <c r="F244" s="7">
        <v>3715</v>
      </c>
      <c r="G244" s="7">
        <v>0</v>
      </c>
      <c r="H244" s="7">
        <v>96150</v>
      </c>
      <c r="I244" s="7">
        <v>0</v>
      </c>
      <c r="J244" s="7">
        <v>0</v>
      </c>
      <c r="K244" s="7">
        <v>110125</v>
      </c>
      <c r="L244" s="7">
        <v>37690</v>
      </c>
      <c r="M244" s="312">
        <f t="shared" si="36"/>
        <v>0.34224744608399543</v>
      </c>
      <c r="N244" s="7">
        <v>0</v>
      </c>
      <c r="O244" s="22">
        <f t="shared" si="38"/>
        <v>37690</v>
      </c>
      <c r="P244" s="22">
        <v>0</v>
      </c>
    </row>
    <row r="245" spans="1:16" s="200" customFormat="1" ht="14.25" customHeight="1">
      <c r="A245" s="21"/>
      <c r="B245" s="16" t="s">
        <v>484</v>
      </c>
      <c r="C245" s="7" t="s">
        <v>485</v>
      </c>
      <c r="D245" s="7"/>
      <c r="E245" s="7"/>
      <c r="F245" s="7"/>
      <c r="G245" s="7"/>
      <c r="H245" s="7"/>
      <c r="I245" s="7"/>
      <c r="J245" s="7"/>
      <c r="K245" s="7">
        <v>5280</v>
      </c>
      <c r="L245" s="7">
        <v>1796</v>
      </c>
      <c r="M245" s="312">
        <f t="shared" si="36"/>
        <v>0.34015151515151515</v>
      </c>
      <c r="N245" s="7">
        <v>0</v>
      </c>
      <c r="O245" s="22">
        <f t="shared" si="38"/>
        <v>1796</v>
      </c>
      <c r="P245" s="22">
        <v>0</v>
      </c>
    </row>
    <row r="246" spans="1:16" s="200" customFormat="1" ht="15" customHeight="1">
      <c r="A246" s="21"/>
      <c r="B246" s="16" t="s">
        <v>637</v>
      </c>
      <c r="C246" s="7" t="s">
        <v>638</v>
      </c>
      <c r="D246" s="7"/>
      <c r="E246" s="7">
        <v>3411</v>
      </c>
      <c r="F246" s="7">
        <v>0</v>
      </c>
      <c r="G246" s="7">
        <v>1800</v>
      </c>
      <c r="H246" s="7">
        <v>3500</v>
      </c>
      <c r="I246" s="7">
        <v>0</v>
      </c>
      <c r="J246" s="7">
        <v>0</v>
      </c>
      <c r="K246" s="7">
        <v>5500</v>
      </c>
      <c r="L246" s="7">
        <v>2315</v>
      </c>
      <c r="M246" s="312">
        <f t="shared" si="36"/>
        <v>0.4209090909090909</v>
      </c>
      <c r="N246" s="7">
        <v>0</v>
      </c>
      <c r="O246" s="22">
        <f t="shared" si="38"/>
        <v>2315</v>
      </c>
      <c r="P246" s="22">
        <v>0</v>
      </c>
    </row>
    <row r="247" spans="1:16" s="200" customFormat="1" ht="13.5" customHeight="1">
      <c r="A247" s="21"/>
      <c r="B247" s="16" t="s">
        <v>570</v>
      </c>
      <c r="C247" s="7" t="s">
        <v>571</v>
      </c>
      <c r="D247" s="7"/>
      <c r="E247" s="7"/>
      <c r="F247" s="7"/>
      <c r="G247" s="7"/>
      <c r="H247" s="7"/>
      <c r="I247" s="7"/>
      <c r="J247" s="7"/>
      <c r="K247" s="7">
        <v>500</v>
      </c>
      <c r="L247" s="7">
        <v>0</v>
      </c>
      <c r="M247" s="312">
        <f t="shared" si="36"/>
        <v>0</v>
      </c>
      <c r="N247" s="7">
        <v>0</v>
      </c>
      <c r="O247" s="22">
        <f t="shared" si="38"/>
        <v>0</v>
      </c>
      <c r="P247" s="22">
        <v>0</v>
      </c>
    </row>
    <row r="248" spans="1:16" s="200" customFormat="1" ht="15" customHeight="1">
      <c r="A248" s="21"/>
      <c r="B248" s="16" t="s">
        <v>641</v>
      </c>
      <c r="C248" s="7" t="s">
        <v>642</v>
      </c>
      <c r="D248" s="7"/>
      <c r="E248" s="7">
        <v>156652</v>
      </c>
      <c r="F248" s="7">
        <v>0</v>
      </c>
      <c r="G248" s="7">
        <v>1550</v>
      </c>
      <c r="H248" s="7">
        <v>123022</v>
      </c>
      <c r="I248" s="7">
        <v>0</v>
      </c>
      <c r="J248" s="7">
        <v>0</v>
      </c>
      <c r="K248" s="7">
        <v>165996</v>
      </c>
      <c r="L248" s="7">
        <v>10000</v>
      </c>
      <c r="M248" s="312">
        <f t="shared" si="36"/>
        <v>0.06024241547989108</v>
      </c>
      <c r="N248" s="7">
        <v>0</v>
      </c>
      <c r="O248" s="22">
        <f t="shared" si="38"/>
        <v>10000</v>
      </c>
      <c r="P248" s="22">
        <v>0</v>
      </c>
    </row>
    <row r="249" spans="1:16" s="200" customFormat="1" ht="13.5" customHeight="1">
      <c r="A249" s="21"/>
      <c r="B249" s="16" t="s">
        <v>657</v>
      </c>
      <c r="C249" s="7" t="s">
        <v>658</v>
      </c>
      <c r="D249" s="7"/>
      <c r="E249" s="7"/>
      <c r="F249" s="7"/>
      <c r="G249" s="7"/>
      <c r="H249" s="7">
        <v>0</v>
      </c>
      <c r="I249" s="7">
        <v>0</v>
      </c>
      <c r="J249" s="7">
        <v>0</v>
      </c>
      <c r="K249" s="7">
        <v>150</v>
      </c>
      <c r="L249" s="7">
        <v>52</v>
      </c>
      <c r="M249" s="312">
        <f t="shared" si="36"/>
        <v>0.3466666666666667</v>
      </c>
      <c r="N249" s="7">
        <v>0</v>
      </c>
      <c r="O249" s="22">
        <f t="shared" si="38"/>
        <v>52</v>
      </c>
      <c r="P249" s="22">
        <v>0</v>
      </c>
    </row>
    <row r="250" spans="1:16" s="200" customFormat="1" ht="13.5" customHeight="1">
      <c r="A250" s="21"/>
      <c r="B250" s="16" t="s">
        <v>492</v>
      </c>
      <c r="C250" s="7" t="s">
        <v>213</v>
      </c>
      <c r="D250" s="7"/>
      <c r="E250" s="7"/>
      <c r="F250" s="7"/>
      <c r="G250" s="7"/>
      <c r="H250" s="7"/>
      <c r="I250" s="7"/>
      <c r="J250" s="7"/>
      <c r="K250" s="7">
        <v>3710</v>
      </c>
      <c r="L250" s="7">
        <v>0</v>
      </c>
      <c r="M250" s="312">
        <f t="shared" si="36"/>
        <v>0</v>
      </c>
      <c r="N250" s="7">
        <v>0</v>
      </c>
      <c r="O250" s="22">
        <f t="shared" si="38"/>
        <v>0</v>
      </c>
      <c r="P250" s="22">
        <v>0</v>
      </c>
    </row>
    <row r="251" spans="1:16" s="200" customFormat="1" ht="17.25" customHeight="1">
      <c r="A251" s="21"/>
      <c r="B251" s="16" t="s">
        <v>61</v>
      </c>
      <c r="C251" s="137" t="s">
        <v>78</v>
      </c>
      <c r="D251" s="7">
        <v>0</v>
      </c>
      <c r="E251" s="7">
        <v>257318</v>
      </c>
      <c r="F251" s="7">
        <v>0</v>
      </c>
      <c r="G251" s="7">
        <v>74165</v>
      </c>
      <c r="H251" s="7" t="e">
        <f>H252+H253+#REF!</f>
        <v>#REF!</v>
      </c>
      <c r="I251" s="7">
        <v>0</v>
      </c>
      <c r="J251" s="7">
        <v>0</v>
      </c>
      <c r="K251" s="7">
        <f aca="true" t="shared" si="39" ref="K251:P251">K252+K253</f>
        <v>103500</v>
      </c>
      <c r="L251" s="7">
        <f t="shared" si="39"/>
        <v>27109</v>
      </c>
      <c r="M251" s="312">
        <f t="shared" si="36"/>
        <v>0.2619227053140097</v>
      </c>
      <c r="N251" s="7">
        <f t="shared" si="39"/>
        <v>0</v>
      </c>
      <c r="O251" s="22">
        <f t="shared" si="38"/>
        <v>27109</v>
      </c>
      <c r="P251" s="7">
        <f t="shared" si="39"/>
        <v>0</v>
      </c>
    </row>
    <row r="252" spans="1:16" s="200" customFormat="1" ht="15.75" customHeight="1">
      <c r="A252" s="21"/>
      <c r="B252" s="16"/>
      <c r="C252" s="274" t="s">
        <v>72</v>
      </c>
      <c r="D252" s="7"/>
      <c r="E252" s="7"/>
      <c r="F252" s="7"/>
      <c r="G252" s="7"/>
      <c r="H252" s="7">
        <v>227897</v>
      </c>
      <c r="I252" s="7">
        <v>0</v>
      </c>
      <c r="J252" s="7">
        <v>0</v>
      </c>
      <c r="K252" s="7">
        <v>70380</v>
      </c>
      <c r="L252" s="7">
        <v>16954</v>
      </c>
      <c r="M252" s="312">
        <f t="shared" si="36"/>
        <v>0.24089229894856493</v>
      </c>
      <c r="N252" s="7">
        <v>0</v>
      </c>
      <c r="O252" s="22">
        <f t="shared" si="38"/>
        <v>16954</v>
      </c>
      <c r="P252" s="22">
        <v>0</v>
      </c>
    </row>
    <row r="253" spans="1:16" s="200" customFormat="1" ht="20.25" customHeight="1">
      <c r="A253" s="21"/>
      <c r="B253" s="16"/>
      <c r="C253" s="274" t="s">
        <v>73</v>
      </c>
      <c r="D253" s="7"/>
      <c r="E253" s="7"/>
      <c r="F253" s="7"/>
      <c r="G253" s="7"/>
      <c r="H253" s="7">
        <v>98014</v>
      </c>
      <c r="I253" s="7">
        <v>0</v>
      </c>
      <c r="J253" s="7">
        <v>0</v>
      </c>
      <c r="K253" s="7">
        <v>33120</v>
      </c>
      <c r="L253" s="7">
        <v>10155</v>
      </c>
      <c r="M253" s="312">
        <f t="shared" si="36"/>
        <v>0.3066123188405797</v>
      </c>
      <c r="N253" s="7">
        <v>0</v>
      </c>
      <c r="O253" s="22">
        <f t="shared" si="38"/>
        <v>10155</v>
      </c>
      <c r="P253" s="22">
        <v>0</v>
      </c>
    </row>
    <row r="254" spans="1:16" s="200" customFormat="1" ht="17.25" customHeight="1">
      <c r="A254" s="215" t="s">
        <v>81</v>
      </c>
      <c r="B254" s="350"/>
      <c r="C254" s="186" t="s">
        <v>82</v>
      </c>
      <c r="D254" s="186">
        <f>D255+D256+D257+D259</f>
        <v>181894</v>
      </c>
      <c r="E254" s="186">
        <f>E255+E256+E257+E258+E259+E262</f>
        <v>139815</v>
      </c>
      <c r="F254" s="186">
        <f>F255+F256+F257+F258+F259+F262</f>
        <v>0</v>
      </c>
      <c r="G254" s="186">
        <f>G255+G256+G257+G258+G259+G262</f>
        <v>0</v>
      </c>
      <c r="H254" s="186" t="e">
        <f>H255+H256+H257+H258+H259+H262+#REF!+H261</f>
        <v>#REF!</v>
      </c>
      <c r="I254" s="186" t="e">
        <f>I255+I256+I257+I258+I259+I262+#REF!+I261</f>
        <v>#REF!</v>
      </c>
      <c r="J254" s="186" t="e">
        <f>J255+J256+J257+J258+J259+J262+#REF!+J261</f>
        <v>#REF!</v>
      </c>
      <c r="K254" s="186">
        <f>K255+K256+K257+K258+K259+K262+K263+K261+K260</f>
        <v>716418</v>
      </c>
      <c r="L254" s="186">
        <f>L255+L256+L257+L258+L259+L262+L263+L261+L260</f>
        <v>218976</v>
      </c>
      <c r="M254" s="185">
        <f t="shared" si="36"/>
        <v>0.30565396179325477</v>
      </c>
      <c r="N254" s="186">
        <f>N255+N256+N257+N258+N259+N262+N261+N260</f>
        <v>0</v>
      </c>
      <c r="O254" s="186">
        <f>O255+O256+O257+O258+O259+O262+O261+O260+O263</f>
        <v>218976</v>
      </c>
      <c r="P254" s="186">
        <f>P255+P256+P257+P258+P259+P262+P261+P260</f>
        <v>0</v>
      </c>
    </row>
    <row r="255" spans="1:16" s="200" customFormat="1" ht="12.75" customHeight="1">
      <c r="A255" s="24"/>
      <c r="B255" s="16" t="s">
        <v>619</v>
      </c>
      <c r="C255" s="10" t="s">
        <v>620</v>
      </c>
      <c r="D255" s="7">
        <v>134523</v>
      </c>
      <c r="E255" s="7">
        <v>97179</v>
      </c>
      <c r="F255" s="7">
        <v>0</v>
      </c>
      <c r="G255" s="7">
        <v>0</v>
      </c>
      <c r="H255" s="7">
        <v>148200</v>
      </c>
      <c r="I255" s="7">
        <v>0</v>
      </c>
      <c r="J255" s="7">
        <v>0</v>
      </c>
      <c r="K255" s="7">
        <v>408564</v>
      </c>
      <c r="L255" s="7">
        <v>113978</v>
      </c>
      <c r="M255" s="312">
        <f t="shared" si="36"/>
        <v>0.2789722050890436</v>
      </c>
      <c r="N255" s="7">
        <v>0</v>
      </c>
      <c r="O255" s="22">
        <f>L255</f>
        <v>113978</v>
      </c>
      <c r="P255" s="22">
        <v>0</v>
      </c>
    </row>
    <row r="256" spans="1:16" s="200" customFormat="1" ht="13.5" customHeight="1">
      <c r="A256" s="24"/>
      <c r="B256" s="16" t="s">
        <v>623</v>
      </c>
      <c r="C256" s="10" t="s">
        <v>624</v>
      </c>
      <c r="D256" s="7">
        <v>12439</v>
      </c>
      <c r="E256" s="7">
        <v>9136</v>
      </c>
      <c r="F256" s="7">
        <v>0</v>
      </c>
      <c r="G256" s="7">
        <v>0</v>
      </c>
      <c r="H256" s="7">
        <v>8185</v>
      </c>
      <c r="I256" s="7">
        <v>0</v>
      </c>
      <c r="J256" s="7">
        <v>0</v>
      </c>
      <c r="K256" s="7">
        <v>31800</v>
      </c>
      <c r="L256" s="7">
        <v>31160</v>
      </c>
      <c r="M256" s="312">
        <f t="shared" si="36"/>
        <v>0.979874213836478</v>
      </c>
      <c r="N256" s="7">
        <v>0</v>
      </c>
      <c r="O256" s="22">
        <f aca="true" t="shared" si="40" ref="O256:O263">L256</f>
        <v>31160</v>
      </c>
      <c r="P256" s="22">
        <v>0</v>
      </c>
    </row>
    <row r="257" spans="1:16" s="200" customFormat="1" ht="13.5" customHeight="1">
      <c r="A257" s="24"/>
      <c r="B257" s="23" t="s">
        <v>675</v>
      </c>
      <c r="C257" s="10" t="s">
        <v>690</v>
      </c>
      <c r="D257" s="7">
        <v>28542</v>
      </c>
      <c r="E257" s="7">
        <v>18746</v>
      </c>
      <c r="F257" s="7">
        <v>0</v>
      </c>
      <c r="G257" s="7">
        <v>0</v>
      </c>
      <c r="H257" s="18">
        <v>27400</v>
      </c>
      <c r="I257" s="7">
        <v>0</v>
      </c>
      <c r="J257" s="7">
        <v>0</v>
      </c>
      <c r="K257" s="7">
        <v>79221</v>
      </c>
      <c r="L257" s="7">
        <v>26072</v>
      </c>
      <c r="M257" s="312">
        <f t="shared" si="36"/>
        <v>0.32910465659357996</v>
      </c>
      <c r="N257" s="7">
        <v>0</v>
      </c>
      <c r="O257" s="22">
        <f t="shared" si="40"/>
        <v>26072</v>
      </c>
      <c r="P257" s="22">
        <v>0</v>
      </c>
    </row>
    <row r="258" spans="1:16" s="200" customFormat="1" ht="14.25" customHeight="1">
      <c r="A258" s="24"/>
      <c r="B258" s="23" t="s">
        <v>627</v>
      </c>
      <c r="C258" s="10" t="s">
        <v>628</v>
      </c>
      <c r="D258" s="7"/>
      <c r="E258" s="7">
        <v>2604</v>
      </c>
      <c r="F258" s="7">
        <v>0</v>
      </c>
      <c r="G258" s="7">
        <v>0</v>
      </c>
      <c r="H258" s="18">
        <v>3760</v>
      </c>
      <c r="I258" s="7">
        <v>0</v>
      </c>
      <c r="J258" s="7">
        <v>0</v>
      </c>
      <c r="K258" s="7">
        <v>10790</v>
      </c>
      <c r="L258" s="7">
        <v>3550</v>
      </c>
      <c r="M258" s="312">
        <f t="shared" si="36"/>
        <v>0.3290083410565338</v>
      </c>
      <c r="N258" s="7">
        <v>0</v>
      </c>
      <c r="O258" s="22">
        <f t="shared" si="40"/>
        <v>3550</v>
      </c>
      <c r="P258" s="22">
        <v>0</v>
      </c>
    </row>
    <row r="259" spans="1:16" s="200" customFormat="1" ht="14.25" customHeight="1">
      <c r="A259" s="24"/>
      <c r="B259" s="16" t="s">
        <v>629</v>
      </c>
      <c r="C259" s="7" t="s">
        <v>656</v>
      </c>
      <c r="D259" s="7">
        <v>6390</v>
      </c>
      <c r="E259" s="7">
        <v>5029</v>
      </c>
      <c r="F259" s="7">
        <v>0</v>
      </c>
      <c r="G259" s="7">
        <v>0</v>
      </c>
      <c r="H259" s="18">
        <v>400</v>
      </c>
      <c r="I259" s="7">
        <v>0</v>
      </c>
      <c r="J259" s="7">
        <v>0</v>
      </c>
      <c r="K259" s="7">
        <v>6800</v>
      </c>
      <c r="L259" s="7">
        <v>6075</v>
      </c>
      <c r="M259" s="312">
        <f t="shared" si="36"/>
        <v>0.8933823529411765</v>
      </c>
      <c r="N259" s="7">
        <v>0</v>
      </c>
      <c r="O259" s="22">
        <f t="shared" si="40"/>
        <v>6075</v>
      </c>
      <c r="P259" s="22">
        <v>0</v>
      </c>
    </row>
    <row r="260" spans="1:16" s="200" customFormat="1" ht="13.5" customHeight="1">
      <c r="A260" s="24"/>
      <c r="B260" s="16" t="s">
        <v>631</v>
      </c>
      <c r="C260" s="7" t="s">
        <v>632</v>
      </c>
      <c r="D260" s="7"/>
      <c r="E260" s="7"/>
      <c r="F260" s="7"/>
      <c r="G260" s="7"/>
      <c r="H260" s="18"/>
      <c r="I260" s="7"/>
      <c r="J260" s="7"/>
      <c r="K260" s="7">
        <v>6500</v>
      </c>
      <c r="L260" s="7">
        <v>499</v>
      </c>
      <c r="M260" s="312">
        <f t="shared" si="36"/>
        <v>0.07676923076923077</v>
      </c>
      <c r="N260" s="7">
        <v>0</v>
      </c>
      <c r="O260" s="22">
        <f t="shared" si="40"/>
        <v>499</v>
      </c>
      <c r="P260" s="22">
        <v>0</v>
      </c>
    </row>
    <row r="261" spans="1:16" s="200" customFormat="1" ht="13.5" customHeight="1">
      <c r="A261" s="24"/>
      <c r="B261" s="16" t="s">
        <v>635</v>
      </c>
      <c r="C261" s="7" t="s">
        <v>636</v>
      </c>
      <c r="D261" s="7"/>
      <c r="E261" s="7"/>
      <c r="F261" s="7"/>
      <c r="G261" s="7"/>
      <c r="H261" s="18">
        <v>1600</v>
      </c>
      <c r="I261" s="7">
        <v>0</v>
      </c>
      <c r="J261" s="7">
        <v>0</v>
      </c>
      <c r="K261" s="7">
        <v>8200</v>
      </c>
      <c r="L261" s="7">
        <v>1396</v>
      </c>
      <c r="M261" s="312">
        <f t="shared" si="36"/>
        <v>0.1702439024390244</v>
      </c>
      <c r="N261" s="7">
        <v>0</v>
      </c>
      <c r="O261" s="22">
        <f t="shared" si="40"/>
        <v>1396</v>
      </c>
      <c r="P261" s="22">
        <v>0</v>
      </c>
    </row>
    <row r="262" spans="1:16" s="200" customFormat="1" ht="16.5" customHeight="1">
      <c r="A262" s="24"/>
      <c r="B262" s="16" t="s">
        <v>641</v>
      </c>
      <c r="C262" s="7" t="s">
        <v>642</v>
      </c>
      <c r="D262" s="7"/>
      <c r="E262" s="7">
        <v>7121</v>
      </c>
      <c r="F262" s="7">
        <v>0</v>
      </c>
      <c r="G262" s="7">
        <v>0</v>
      </c>
      <c r="H262" s="18">
        <v>7875</v>
      </c>
      <c r="I262" s="7">
        <v>0</v>
      </c>
      <c r="J262" s="7">
        <v>0</v>
      </c>
      <c r="K262" s="7">
        <v>19556</v>
      </c>
      <c r="L262" s="7">
        <v>0</v>
      </c>
      <c r="M262" s="312">
        <f t="shared" si="36"/>
        <v>0</v>
      </c>
      <c r="N262" s="7">
        <v>0</v>
      </c>
      <c r="O262" s="22">
        <f t="shared" si="40"/>
        <v>0</v>
      </c>
      <c r="P262" s="22">
        <v>0</v>
      </c>
    </row>
    <row r="263" spans="1:16" s="200" customFormat="1" ht="22.5" customHeight="1">
      <c r="A263" s="24"/>
      <c r="B263" s="16" t="s">
        <v>61</v>
      </c>
      <c r="C263" s="137" t="s">
        <v>563</v>
      </c>
      <c r="D263" s="7"/>
      <c r="E263" s="7"/>
      <c r="F263" s="7"/>
      <c r="G263" s="7"/>
      <c r="H263" s="18"/>
      <c r="I263" s="7"/>
      <c r="J263" s="7"/>
      <c r="K263" s="7">
        <v>144987</v>
      </c>
      <c r="L263" s="7">
        <v>36246</v>
      </c>
      <c r="M263" s="312">
        <f t="shared" si="36"/>
        <v>0.24999482712243168</v>
      </c>
      <c r="N263" s="7"/>
      <c r="O263" s="22">
        <f t="shared" si="40"/>
        <v>36246</v>
      </c>
      <c r="P263" s="22"/>
    </row>
    <row r="264" spans="1:16" s="200" customFormat="1" ht="15.75" customHeight="1">
      <c r="A264" s="215" t="s">
        <v>85</v>
      </c>
      <c r="B264" s="226"/>
      <c r="C264" s="214" t="s">
        <v>88</v>
      </c>
      <c r="D264" s="186"/>
      <c r="E264" s="186" t="e">
        <f>#REF!+E266+#REF!+#REF!+#REF!</f>
        <v>#REF!</v>
      </c>
      <c r="F264" s="186" t="e">
        <f>#REF!+F266+#REF!+#REF!+#REF!</f>
        <v>#REF!</v>
      </c>
      <c r="G264" s="186" t="e">
        <f>#REF!+G266+#REF!+#REF!+#REF!</f>
        <v>#REF!</v>
      </c>
      <c r="H264" s="186" t="e">
        <f>H266+#REF!</f>
        <v>#REF!</v>
      </c>
      <c r="I264" s="186" t="e">
        <f>I266+#REF!</f>
        <v>#REF!</v>
      </c>
      <c r="J264" s="186" t="e">
        <f>J266+#REF!</f>
        <v>#REF!</v>
      </c>
      <c r="K264" s="186">
        <f aca="true" t="shared" si="41" ref="K264:P264">K265+K266</f>
        <v>1200</v>
      </c>
      <c r="L264" s="186">
        <f t="shared" si="41"/>
        <v>0</v>
      </c>
      <c r="M264" s="185">
        <f t="shared" si="36"/>
        <v>0</v>
      </c>
      <c r="N264" s="186">
        <f t="shared" si="41"/>
        <v>0</v>
      </c>
      <c r="O264" s="186">
        <f t="shared" si="41"/>
        <v>0</v>
      </c>
      <c r="P264" s="186">
        <f t="shared" si="41"/>
        <v>0</v>
      </c>
    </row>
    <row r="265" spans="1:16" s="200" customFormat="1" ht="13.5" customHeight="1">
      <c r="A265" s="24"/>
      <c r="B265" s="16" t="s">
        <v>470</v>
      </c>
      <c r="C265" s="10" t="s">
        <v>483</v>
      </c>
      <c r="D265" s="7"/>
      <c r="E265" s="7"/>
      <c r="F265" s="7"/>
      <c r="G265" s="7"/>
      <c r="H265" s="6"/>
      <c r="I265" s="6"/>
      <c r="J265" s="6"/>
      <c r="K265" s="18">
        <v>960</v>
      </c>
      <c r="L265" s="18">
        <v>0</v>
      </c>
      <c r="M265" s="312">
        <f t="shared" si="36"/>
        <v>0</v>
      </c>
      <c r="N265" s="7">
        <v>0</v>
      </c>
      <c r="O265" s="22">
        <f>L265</f>
        <v>0</v>
      </c>
      <c r="P265" s="22">
        <v>0</v>
      </c>
    </row>
    <row r="266" spans="1:16" s="200" customFormat="1" ht="14.25" customHeight="1">
      <c r="A266" s="24"/>
      <c r="B266" s="16" t="s">
        <v>629</v>
      </c>
      <c r="C266" s="10" t="s">
        <v>656</v>
      </c>
      <c r="D266" s="7"/>
      <c r="E266" s="7">
        <v>43</v>
      </c>
      <c r="F266" s="7">
        <v>0</v>
      </c>
      <c r="G266" s="7">
        <v>7</v>
      </c>
      <c r="H266" s="7">
        <v>100</v>
      </c>
      <c r="I266" s="7">
        <v>0</v>
      </c>
      <c r="J266" s="7">
        <v>0</v>
      </c>
      <c r="K266" s="7">
        <v>240</v>
      </c>
      <c r="L266" s="7">
        <v>0</v>
      </c>
      <c r="M266" s="312">
        <f t="shared" si="36"/>
        <v>0</v>
      </c>
      <c r="N266" s="7">
        <v>0</v>
      </c>
      <c r="O266" s="22">
        <f>L266</f>
        <v>0</v>
      </c>
      <c r="P266" s="22">
        <v>0</v>
      </c>
    </row>
    <row r="267" spans="1:16" s="200" customFormat="1" ht="22.5" customHeight="1">
      <c r="A267" s="215" t="s">
        <v>89</v>
      </c>
      <c r="B267" s="226"/>
      <c r="C267" s="214" t="s">
        <v>90</v>
      </c>
      <c r="D267" s="186"/>
      <c r="E267" s="186">
        <f>E268</f>
        <v>22260</v>
      </c>
      <c r="F267" s="186">
        <f>F268</f>
        <v>0</v>
      </c>
      <c r="G267" s="186">
        <f>G268</f>
        <v>0</v>
      </c>
      <c r="H267" s="186">
        <f>H268+H269+H270+H271+H272</f>
        <v>39096</v>
      </c>
      <c r="I267" s="186">
        <f>I268+I269+I270+I271+I272</f>
        <v>0</v>
      </c>
      <c r="J267" s="186">
        <f>J268+J269+J270+J271+J272</f>
        <v>0</v>
      </c>
      <c r="K267" s="186">
        <f>K268+K269+K270+K271+K272+K273+K274</f>
        <v>61720</v>
      </c>
      <c r="L267" s="186">
        <f>L268+L269+L270+L271+L272+L273+L274</f>
        <v>3000</v>
      </c>
      <c r="M267" s="185">
        <f t="shared" si="36"/>
        <v>0.04860661049902787</v>
      </c>
      <c r="N267" s="186">
        <f>N268+N269+N270+N271+N272+N274</f>
        <v>0</v>
      </c>
      <c r="O267" s="186">
        <f>O268+O269+O270+O271+O272+O273+O274</f>
        <v>0</v>
      </c>
      <c r="P267" s="186">
        <f>P268+P269+P270+P271+P272+P274</f>
        <v>3000</v>
      </c>
    </row>
    <row r="268" spans="1:16" s="200" customFormat="1" ht="17.25" customHeight="1">
      <c r="A268" s="24"/>
      <c r="B268" s="16" t="s">
        <v>83</v>
      </c>
      <c r="C268" s="10" t="s">
        <v>332</v>
      </c>
      <c r="D268" s="7"/>
      <c r="E268" s="7">
        <v>22260</v>
      </c>
      <c r="F268" s="7">
        <v>0</v>
      </c>
      <c r="G268" s="7">
        <v>0</v>
      </c>
      <c r="H268" s="18">
        <v>12000</v>
      </c>
      <c r="I268" s="18">
        <v>0</v>
      </c>
      <c r="J268" s="18">
        <v>0</v>
      </c>
      <c r="K268" s="7">
        <v>12000</v>
      </c>
      <c r="L268" s="7">
        <v>3000</v>
      </c>
      <c r="M268" s="312">
        <f t="shared" si="36"/>
        <v>0.25</v>
      </c>
      <c r="N268" s="7">
        <v>0</v>
      </c>
      <c r="O268" s="22">
        <v>0</v>
      </c>
      <c r="P268" s="22">
        <f>L268-N268-O268</f>
        <v>3000</v>
      </c>
    </row>
    <row r="269" spans="1:16" s="200" customFormat="1" ht="15" customHeight="1">
      <c r="A269" s="24"/>
      <c r="B269" s="16" t="s">
        <v>491</v>
      </c>
      <c r="C269" s="10" t="s">
        <v>333</v>
      </c>
      <c r="D269" s="7"/>
      <c r="E269" s="7"/>
      <c r="F269" s="7"/>
      <c r="G269" s="7"/>
      <c r="H269" s="18">
        <v>13500</v>
      </c>
      <c r="I269" s="18">
        <v>0</v>
      </c>
      <c r="J269" s="18">
        <v>0</v>
      </c>
      <c r="K269" s="7">
        <v>0</v>
      </c>
      <c r="L269" s="7">
        <v>0</v>
      </c>
      <c r="M269" s="312">
        <v>0</v>
      </c>
      <c r="N269" s="7">
        <v>0</v>
      </c>
      <c r="O269" s="22">
        <f aca="true" t="shared" si="42" ref="O269:O274">L269</f>
        <v>0</v>
      </c>
      <c r="P269" s="22">
        <v>0</v>
      </c>
    </row>
    <row r="270" spans="1:16" s="200" customFormat="1" ht="16.5" customHeight="1">
      <c r="A270" s="24"/>
      <c r="B270" s="16" t="s">
        <v>619</v>
      </c>
      <c r="C270" s="10" t="s">
        <v>620</v>
      </c>
      <c r="D270" s="7"/>
      <c r="E270" s="7"/>
      <c r="F270" s="7"/>
      <c r="G270" s="7"/>
      <c r="H270" s="18">
        <v>11300</v>
      </c>
      <c r="I270" s="18">
        <v>0</v>
      </c>
      <c r="J270" s="18">
        <v>0</v>
      </c>
      <c r="K270" s="7">
        <v>18720</v>
      </c>
      <c r="L270" s="7">
        <v>0</v>
      </c>
      <c r="M270" s="312">
        <f t="shared" si="36"/>
        <v>0</v>
      </c>
      <c r="N270" s="7">
        <v>0</v>
      </c>
      <c r="O270" s="22">
        <f t="shared" si="42"/>
        <v>0</v>
      </c>
      <c r="P270" s="22">
        <v>0</v>
      </c>
    </row>
    <row r="271" spans="1:16" s="200" customFormat="1" ht="15" customHeight="1">
      <c r="A271" s="24"/>
      <c r="B271" s="16" t="s">
        <v>652</v>
      </c>
      <c r="C271" s="10" t="s">
        <v>690</v>
      </c>
      <c r="D271" s="7"/>
      <c r="E271" s="7"/>
      <c r="F271" s="7"/>
      <c r="G271" s="7"/>
      <c r="H271" s="18">
        <v>2020</v>
      </c>
      <c r="I271" s="18">
        <v>0</v>
      </c>
      <c r="J271" s="18">
        <v>0</v>
      </c>
      <c r="K271" s="7">
        <v>3369</v>
      </c>
      <c r="L271" s="7">
        <v>0</v>
      </c>
      <c r="M271" s="312">
        <f t="shared" si="36"/>
        <v>0</v>
      </c>
      <c r="N271" s="7">
        <v>0</v>
      </c>
      <c r="O271" s="22">
        <f t="shared" si="42"/>
        <v>0</v>
      </c>
      <c r="P271" s="22">
        <v>0</v>
      </c>
    </row>
    <row r="272" spans="1:16" s="200" customFormat="1" ht="15.75" customHeight="1">
      <c r="A272" s="24"/>
      <c r="B272" s="16" t="s">
        <v>627</v>
      </c>
      <c r="C272" s="10" t="s">
        <v>628</v>
      </c>
      <c r="D272" s="7"/>
      <c r="E272" s="7"/>
      <c r="F272" s="7"/>
      <c r="G272" s="7"/>
      <c r="H272" s="18">
        <v>276</v>
      </c>
      <c r="I272" s="18">
        <v>0</v>
      </c>
      <c r="J272" s="18">
        <v>0</v>
      </c>
      <c r="K272" s="7">
        <v>459</v>
      </c>
      <c r="L272" s="7">
        <v>0</v>
      </c>
      <c r="M272" s="312">
        <f t="shared" si="36"/>
        <v>0</v>
      </c>
      <c r="N272" s="7">
        <v>0</v>
      </c>
      <c r="O272" s="22">
        <f t="shared" si="42"/>
        <v>0</v>
      </c>
      <c r="P272" s="22">
        <v>0</v>
      </c>
    </row>
    <row r="273" spans="1:16" s="200" customFormat="1" ht="15.75" customHeight="1">
      <c r="A273" s="24"/>
      <c r="B273" s="16" t="s">
        <v>470</v>
      </c>
      <c r="C273" s="10" t="s">
        <v>306</v>
      </c>
      <c r="D273" s="7"/>
      <c r="E273" s="7"/>
      <c r="F273" s="7"/>
      <c r="G273" s="7"/>
      <c r="H273" s="18"/>
      <c r="I273" s="18"/>
      <c r="J273" s="18"/>
      <c r="K273" s="7">
        <v>5000</v>
      </c>
      <c r="L273" s="7">
        <v>0</v>
      </c>
      <c r="M273" s="312">
        <f t="shared" si="36"/>
        <v>0</v>
      </c>
      <c r="N273" s="7">
        <v>0</v>
      </c>
      <c r="O273" s="22">
        <f t="shared" si="42"/>
        <v>0</v>
      </c>
      <c r="P273" s="22">
        <v>0</v>
      </c>
    </row>
    <row r="274" spans="1:16" s="200" customFormat="1" ht="15.75" customHeight="1">
      <c r="A274" s="24"/>
      <c r="B274" s="16" t="s">
        <v>635</v>
      </c>
      <c r="C274" s="7" t="s">
        <v>636</v>
      </c>
      <c r="D274" s="7"/>
      <c r="E274" s="7"/>
      <c r="F274" s="7"/>
      <c r="G274" s="7"/>
      <c r="H274" s="18"/>
      <c r="I274" s="18"/>
      <c r="J274" s="18"/>
      <c r="K274" s="7">
        <v>22172</v>
      </c>
      <c r="L274" s="7">
        <v>0</v>
      </c>
      <c r="M274" s="312">
        <f t="shared" si="36"/>
        <v>0</v>
      </c>
      <c r="N274" s="7">
        <v>0</v>
      </c>
      <c r="O274" s="22">
        <f t="shared" si="42"/>
        <v>0</v>
      </c>
      <c r="P274" s="22">
        <v>0</v>
      </c>
    </row>
    <row r="275" spans="1:16" s="200" customFormat="1" ht="15.75" customHeight="1">
      <c r="A275" s="215" t="s">
        <v>91</v>
      </c>
      <c r="B275" s="350"/>
      <c r="C275" s="186" t="s">
        <v>692</v>
      </c>
      <c r="D275" s="349"/>
      <c r="E275" s="349"/>
      <c r="F275" s="349"/>
      <c r="G275" s="349"/>
      <c r="H275" s="241"/>
      <c r="I275" s="241"/>
      <c r="J275" s="241"/>
      <c r="K275" s="186">
        <f aca="true" t="shared" si="43" ref="K275:P275">K276</f>
        <v>0</v>
      </c>
      <c r="L275" s="186">
        <f t="shared" si="43"/>
        <v>0</v>
      </c>
      <c r="M275" s="185">
        <v>0</v>
      </c>
      <c r="N275" s="186">
        <f t="shared" si="43"/>
        <v>0</v>
      </c>
      <c r="O275" s="186">
        <f t="shared" si="43"/>
        <v>0</v>
      </c>
      <c r="P275" s="186">
        <f t="shared" si="43"/>
        <v>0</v>
      </c>
    </row>
    <row r="276" spans="1:16" s="200" customFormat="1" ht="15.75" customHeight="1">
      <c r="A276" s="24"/>
      <c r="B276" s="29" t="s">
        <v>641</v>
      </c>
      <c r="C276" s="18" t="s">
        <v>642</v>
      </c>
      <c r="D276" s="7"/>
      <c r="E276" s="7"/>
      <c r="F276" s="7"/>
      <c r="G276" s="7"/>
      <c r="H276" s="18"/>
      <c r="I276" s="18"/>
      <c r="J276" s="18"/>
      <c r="K276" s="7">
        <v>0</v>
      </c>
      <c r="L276" s="7">
        <v>0</v>
      </c>
      <c r="M276" s="312">
        <v>0</v>
      </c>
      <c r="N276" s="7">
        <v>0</v>
      </c>
      <c r="O276" s="22">
        <f>L276</f>
        <v>0</v>
      </c>
      <c r="P276" s="22">
        <v>0</v>
      </c>
    </row>
    <row r="277" spans="1:16" s="199" customFormat="1" ht="15.75" customHeight="1">
      <c r="A277" s="197" t="s">
        <v>163</v>
      </c>
      <c r="B277" s="194"/>
      <c r="C277" s="191" t="s">
        <v>284</v>
      </c>
      <c r="D277" s="191"/>
      <c r="E277" s="191"/>
      <c r="F277" s="191"/>
      <c r="G277" s="191"/>
      <c r="H277" s="191"/>
      <c r="I277" s="191"/>
      <c r="J277" s="191"/>
      <c r="K277" s="191">
        <f aca="true" t="shared" si="44" ref="K277:P277">K278</f>
        <v>84686</v>
      </c>
      <c r="L277" s="191">
        <f t="shared" si="44"/>
        <v>11552</v>
      </c>
      <c r="M277" s="405">
        <f t="shared" si="36"/>
        <v>0.13640979618827198</v>
      </c>
      <c r="N277" s="191">
        <f t="shared" si="44"/>
        <v>0</v>
      </c>
      <c r="O277" s="191">
        <f t="shared" si="44"/>
        <v>11552</v>
      </c>
      <c r="P277" s="191">
        <f t="shared" si="44"/>
        <v>0</v>
      </c>
    </row>
    <row r="278" spans="1:16" s="200" customFormat="1" ht="15.75" customHeight="1">
      <c r="A278" s="215" t="s">
        <v>164</v>
      </c>
      <c r="B278" s="350"/>
      <c r="C278" s="349" t="s">
        <v>165</v>
      </c>
      <c r="D278" s="349"/>
      <c r="E278" s="349"/>
      <c r="F278" s="349"/>
      <c r="G278" s="349"/>
      <c r="H278" s="241"/>
      <c r="I278" s="241"/>
      <c r="J278" s="241"/>
      <c r="K278" s="186">
        <f>SUM(K279:K286)</f>
        <v>84686</v>
      </c>
      <c r="L278" s="186">
        <f>SUM(L279:L286)</f>
        <v>11552</v>
      </c>
      <c r="M278" s="185">
        <f t="shared" si="36"/>
        <v>0.13640979618827198</v>
      </c>
      <c r="N278" s="349">
        <v>0</v>
      </c>
      <c r="O278" s="186">
        <f>SUM(O279:O286)</f>
        <v>11552</v>
      </c>
      <c r="P278" s="349">
        <f>SUM(P279:P286)</f>
        <v>0</v>
      </c>
    </row>
    <row r="279" spans="1:16" s="200" customFormat="1" ht="15.75" customHeight="1">
      <c r="A279" s="24"/>
      <c r="B279" s="16" t="s">
        <v>166</v>
      </c>
      <c r="C279" s="7" t="s">
        <v>167</v>
      </c>
      <c r="D279" s="7"/>
      <c r="E279" s="7"/>
      <c r="F279" s="7"/>
      <c r="G279" s="7"/>
      <c r="H279" s="18"/>
      <c r="I279" s="18"/>
      <c r="J279" s="18"/>
      <c r="K279" s="7">
        <v>49350</v>
      </c>
      <c r="L279" s="7">
        <v>7050</v>
      </c>
      <c r="M279" s="312">
        <f aca="true" t="shared" si="45" ref="M279:M342">L279/K279</f>
        <v>0.14285714285714285</v>
      </c>
      <c r="N279" s="7">
        <v>0</v>
      </c>
      <c r="O279" s="22">
        <f>L279</f>
        <v>7050</v>
      </c>
      <c r="P279" s="22">
        <v>0</v>
      </c>
    </row>
    <row r="280" spans="1:16" s="200" customFormat="1" ht="15.75" customHeight="1">
      <c r="A280" s="24"/>
      <c r="B280" s="16" t="s">
        <v>168</v>
      </c>
      <c r="C280" s="7" t="s">
        <v>167</v>
      </c>
      <c r="D280" s="7"/>
      <c r="E280" s="7"/>
      <c r="F280" s="7"/>
      <c r="G280" s="7"/>
      <c r="H280" s="18"/>
      <c r="I280" s="18"/>
      <c r="J280" s="18"/>
      <c r="K280" s="7">
        <v>29090</v>
      </c>
      <c r="L280" s="7">
        <v>2350</v>
      </c>
      <c r="M280" s="312">
        <f t="shared" si="45"/>
        <v>0.0807837744929529</v>
      </c>
      <c r="N280" s="7">
        <v>0</v>
      </c>
      <c r="O280" s="22">
        <f aca="true" t="shared" si="46" ref="O280:O286">L280</f>
        <v>2350</v>
      </c>
      <c r="P280" s="22">
        <v>0</v>
      </c>
    </row>
    <row r="281" spans="1:16" s="200" customFormat="1" ht="15.75" customHeight="1">
      <c r="A281" s="24"/>
      <c r="B281" s="16" t="s">
        <v>169</v>
      </c>
      <c r="C281" s="7" t="s">
        <v>483</v>
      </c>
      <c r="D281" s="7"/>
      <c r="E281" s="7"/>
      <c r="F281" s="7"/>
      <c r="G281" s="7"/>
      <c r="H281" s="18"/>
      <c r="I281" s="18"/>
      <c r="J281" s="18"/>
      <c r="K281" s="7">
        <v>1614</v>
      </c>
      <c r="L281" s="7">
        <v>1614</v>
      </c>
      <c r="M281" s="312">
        <f t="shared" si="45"/>
        <v>1</v>
      </c>
      <c r="N281" s="7">
        <v>0</v>
      </c>
      <c r="O281" s="22">
        <f t="shared" si="46"/>
        <v>1614</v>
      </c>
      <c r="P281" s="22">
        <v>0</v>
      </c>
    </row>
    <row r="282" spans="1:16" s="200" customFormat="1" ht="15.75" customHeight="1">
      <c r="A282" s="24"/>
      <c r="B282" s="16" t="s">
        <v>170</v>
      </c>
      <c r="C282" s="7" t="s">
        <v>483</v>
      </c>
      <c r="D282" s="7"/>
      <c r="E282" s="7"/>
      <c r="F282" s="7"/>
      <c r="G282" s="7"/>
      <c r="H282" s="18"/>
      <c r="I282" s="18"/>
      <c r="J282" s="18"/>
      <c r="K282" s="7">
        <v>538</v>
      </c>
      <c r="L282" s="7">
        <v>538</v>
      </c>
      <c r="M282" s="312">
        <f t="shared" si="45"/>
        <v>1</v>
      </c>
      <c r="N282" s="7">
        <v>0</v>
      </c>
      <c r="O282" s="22">
        <f t="shared" si="46"/>
        <v>538</v>
      </c>
      <c r="P282" s="22">
        <v>0</v>
      </c>
    </row>
    <row r="283" spans="1:16" s="200" customFormat="1" ht="15.75" customHeight="1">
      <c r="A283" s="24"/>
      <c r="B283" s="16" t="s">
        <v>171</v>
      </c>
      <c r="C283" s="7" t="s">
        <v>630</v>
      </c>
      <c r="D283" s="7"/>
      <c r="E283" s="7"/>
      <c r="F283" s="7"/>
      <c r="G283" s="7"/>
      <c r="H283" s="18"/>
      <c r="I283" s="18"/>
      <c r="J283" s="18"/>
      <c r="K283" s="7">
        <v>70</v>
      </c>
      <c r="L283" s="7">
        <v>0</v>
      </c>
      <c r="M283" s="312">
        <f t="shared" si="45"/>
        <v>0</v>
      </c>
      <c r="N283" s="7">
        <v>0</v>
      </c>
      <c r="O283" s="22">
        <f t="shared" si="46"/>
        <v>0</v>
      </c>
      <c r="P283" s="22">
        <v>0</v>
      </c>
    </row>
    <row r="284" spans="1:16" s="200" customFormat="1" ht="15.75" customHeight="1">
      <c r="A284" s="24"/>
      <c r="B284" s="16" t="s">
        <v>174</v>
      </c>
      <c r="C284" s="7" t="s">
        <v>630</v>
      </c>
      <c r="D284" s="7"/>
      <c r="E284" s="7"/>
      <c r="F284" s="7"/>
      <c r="G284" s="7"/>
      <c r="H284" s="18"/>
      <c r="I284" s="18"/>
      <c r="J284" s="18"/>
      <c r="K284" s="7">
        <v>24</v>
      </c>
      <c r="L284" s="7">
        <v>0</v>
      </c>
      <c r="M284" s="312">
        <f t="shared" si="45"/>
        <v>0</v>
      </c>
      <c r="N284" s="7">
        <v>0</v>
      </c>
      <c r="O284" s="22">
        <f t="shared" si="46"/>
        <v>0</v>
      </c>
      <c r="P284" s="22">
        <v>0</v>
      </c>
    </row>
    <row r="285" spans="1:16" s="200" customFormat="1" ht="15" customHeight="1">
      <c r="A285" s="24"/>
      <c r="B285" s="16" t="s">
        <v>172</v>
      </c>
      <c r="C285" s="7" t="s">
        <v>22</v>
      </c>
      <c r="D285" s="7"/>
      <c r="E285" s="7"/>
      <c r="F285" s="7"/>
      <c r="G285" s="7"/>
      <c r="H285" s="18"/>
      <c r="I285" s="18"/>
      <c r="J285" s="18"/>
      <c r="K285" s="7">
        <v>3000</v>
      </c>
      <c r="L285" s="7">
        <v>0</v>
      </c>
      <c r="M285" s="312">
        <f t="shared" si="45"/>
        <v>0</v>
      </c>
      <c r="N285" s="7">
        <v>0</v>
      </c>
      <c r="O285" s="22">
        <f t="shared" si="46"/>
        <v>0</v>
      </c>
      <c r="P285" s="22">
        <v>0</v>
      </c>
    </row>
    <row r="286" spans="1:16" s="200" customFormat="1" ht="16.5" customHeight="1">
      <c r="A286" s="24"/>
      <c r="B286" s="16" t="s">
        <v>173</v>
      </c>
      <c r="C286" s="7" t="s">
        <v>22</v>
      </c>
      <c r="D286" s="7"/>
      <c r="E286" s="7"/>
      <c r="F286" s="7"/>
      <c r="G286" s="7"/>
      <c r="H286" s="18"/>
      <c r="I286" s="18"/>
      <c r="J286" s="18"/>
      <c r="K286" s="7">
        <v>1000</v>
      </c>
      <c r="L286" s="7">
        <v>0</v>
      </c>
      <c r="M286" s="312">
        <f t="shared" si="45"/>
        <v>0</v>
      </c>
      <c r="N286" s="7">
        <v>0</v>
      </c>
      <c r="O286" s="22">
        <f t="shared" si="46"/>
        <v>0</v>
      </c>
      <c r="P286" s="22">
        <v>0</v>
      </c>
    </row>
    <row r="287" spans="1:16" s="200" customFormat="1" ht="16.5" customHeight="1">
      <c r="A287" s="190" t="s">
        <v>92</v>
      </c>
      <c r="B287" s="194"/>
      <c r="C287" s="191" t="s">
        <v>93</v>
      </c>
      <c r="D287" s="191" t="e">
        <f>D288+#REF!+#REF!+#REF!+#REF!+D299</f>
        <v>#REF!</v>
      </c>
      <c r="E287" s="191" t="e">
        <f>E288+#REF!+#REF!+#REF!+#REF!+E299</f>
        <v>#REF!</v>
      </c>
      <c r="F287" s="191" t="e">
        <f>F288+#REF!+#REF!+F299</f>
        <v>#REF!</v>
      </c>
      <c r="G287" s="191" t="e">
        <f>G288+#REF!+#REF!+G299</f>
        <v>#REF!</v>
      </c>
      <c r="H287" s="191" t="e">
        <f>H288+#REF!+H299</f>
        <v>#REF!</v>
      </c>
      <c r="I287" s="191" t="e">
        <f>I288+#REF!+I299</f>
        <v>#REF!</v>
      </c>
      <c r="J287" s="191" t="e">
        <f>J288+#REF!+J299</f>
        <v>#REF!</v>
      </c>
      <c r="K287" s="191">
        <f aca="true" t="shared" si="47" ref="K287:P287">K288+K293+K299</f>
        <v>3527690</v>
      </c>
      <c r="L287" s="191">
        <f t="shared" si="47"/>
        <v>179737</v>
      </c>
      <c r="M287" s="405">
        <f t="shared" si="45"/>
        <v>0.05095033860685037</v>
      </c>
      <c r="N287" s="191">
        <f t="shared" si="47"/>
        <v>93491</v>
      </c>
      <c r="O287" s="191">
        <f t="shared" si="47"/>
        <v>86246</v>
      </c>
      <c r="P287" s="191">
        <f t="shared" si="47"/>
        <v>0</v>
      </c>
    </row>
    <row r="288" spans="1:16" s="200" customFormat="1" ht="15" customHeight="1">
      <c r="A288" s="213" t="s">
        <v>94</v>
      </c>
      <c r="B288" s="350"/>
      <c r="C288" s="186" t="s">
        <v>95</v>
      </c>
      <c r="D288" s="186" t="e">
        <f>#REF!+#REF!+#REF!</f>
        <v>#REF!</v>
      </c>
      <c r="E288" s="186" t="e">
        <f>#REF!+#REF!+#REF!+E289</f>
        <v>#REF!</v>
      </c>
      <c r="F288" s="186" t="e">
        <f>#REF!+#REF!+#REF!+F289</f>
        <v>#REF!</v>
      </c>
      <c r="G288" s="186" t="e">
        <f>#REF!+#REF!+#REF!</f>
        <v>#REF!</v>
      </c>
      <c r="H288" s="186" t="e">
        <f>#REF!+H289+H292+H290+H291+#REF!</f>
        <v>#REF!</v>
      </c>
      <c r="I288" s="186" t="e">
        <f>#REF!+I289+I292+I290+I291+#REF!</f>
        <v>#REF!</v>
      </c>
      <c r="J288" s="186" t="e">
        <f>#REF!+J289+J292+J290+J291+#REF!</f>
        <v>#REF!</v>
      </c>
      <c r="K288" s="186">
        <f aca="true" t="shared" si="48" ref="K288:P288">SUM(K289:K292)</f>
        <v>2973938</v>
      </c>
      <c r="L288" s="186">
        <f t="shared" si="48"/>
        <v>85010</v>
      </c>
      <c r="M288" s="185">
        <f t="shared" si="45"/>
        <v>0.028584994038207925</v>
      </c>
      <c r="N288" s="186">
        <f t="shared" si="48"/>
        <v>0</v>
      </c>
      <c r="O288" s="186">
        <f t="shared" si="48"/>
        <v>85010</v>
      </c>
      <c r="P288" s="186">
        <f t="shared" si="48"/>
        <v>0</v>
      </c>
    </row>
    <row r="289" spans="1:16" s="200" customFormat="1" ht="15.75" customHeight="1">
      <c r="A289" s="15"/>
      <c r="B289" s="16" t="s">
        <v>96</v>
      </c>
      <c r="C289" s="27" t="s">
        <v>586</v>
      </c>
      <c r="D289" s="18"/>
      <c r="E289" s="18">
        <v>0</v>
      </c>
      <c r="F289" s="18">
        <v>9135</v>
      </c>
      <c r="G289" s="18">
        <v>0</v>
      </c>
      <c r="H289" s="18">
        <v>100000</v>
      </c>
      <c r="I289" s="18">
        <v>0</v>
      </c>
      <c r="J289" s="18">
        <v>0</v>
      </c>
      <c r="K289" s="18">
        <v>250000</v>
      </c>
      <c r="L289" s="18">
        <v>62500</v>
      </c>
      <c r="M289" s="312">
        <f t="shared" si="45"/>
        <v>0.25</v>
      </c>
      <c r="N289" s="18">
        <v>0</v>
      </c>
      <c r="O289" s="19">
        <f>L289</f>
        <v>62500</v>
      </c>
      <c r="P289" s="17">
        <v>0</v>
      </c>
    </row>
    <row r="290" spans="1:16" s="200" customFormat="1" ht="16.5" customHeight="1">
      <c r="A290" s="15"/>
      <c r="B290" s="16" t="s">
        <v>659</v>
      </c>
      <c r="C290" s="137" t="s">
        <v>545</v>
      </c>
      <c r="D290" s="18"/>
      <c r="E290" s="18"/>
      <c r="F290" s="18"/>
      <c r="G290" s="18"/>
      <c r="H290" s="18">
        <v>5011670</v>
      </c>
      <c r="I290" s="18">
        <v>0</v>
      </c>
      <c r="J290" s="18">
        <v>0</v>
      </c>
      <c r="K290" s="18">
        <v>49676</v>
      </c>
      <c r="L290" s="18">
        <v>21290</v>
      </c>
      <c r="M290" s="312">
        <f t="shared" si="45"/>
        <v>0.4285771801272244</v>
      </c>
      <c r="N290" s="18">
        <v>0</v>
      </c>
      <c r="O290" s="19">
        <f>L290</f>
        <v>21290</v>
      </c>
      <c r="P290" s="17">
        <v>0</v>
      </c>
    </row>
    <row r="291" spans="1:16" s="200" customFormat="1" ht="17.25" customHeight="1">
      <c r="A291" s="15"/>
      <c r="B291" s="16" t="s">
        <v>158</v>
      </c>
      <c r="C291" s="137" t="s">
        <v>545</v>
      </c>
      <c r="D291" s="18"/>
      <c r="E291" s="18"/>
      <c r="F291" s="18"/>
      <c r="G291" s="18"/>
      <c r="H291" s="18">
        <v>8600</v>
      </c>
      <c r="I291" s="18">
        <v>0</v>
      </c>
      <c r="J291" s="18">
        <v>0</v>
      </c>
      <c r="K291" s="18">
        <v>1801762</v>
      </c>
      <c r="L291" s="18">
        <v>0</v>
      </c>
      <c r="M291" s="312">
        <f t="shared" si="45"/>
        <v>0</v>
      </c>
      <c r="N291" s="18">
        <v>0</v>
      </c>
      <c r="O291" s="19">
        <f>L291</f>
        <v>0</v>
      </c>
      <c r="P291" s="17">
        <v>0</v>
      </c>
    </row>
    <row r="292" spans="1:16" s="200" customFormat="1" ht="16.5" customHeight="1">
      <c r="A292" s="15"/>
      <c r="B292" s="16" t="s">
        <v>318</v>
      </c>
      <c r="C292" s="137" t="s">
        <v>545</v>
      </c>
      <c r="D292" s="18"/>
      <c r="E292" s="18"/>
      <c r="F292" s="18"/>
      <c r="G292" s="18"/>
      <c r="H292" s="18">
        <v>74000</v>
      </c>
      <c r="I292" s="18">
        <v>0</v>
      </c>
      <c r="J292" s="18">
        <v>0</v>
      </c>
      <c r="K292" s="18">
        <v>872500</v>
      </c>
      <c r="L292" s="18">
        <v>1220</v>
      </c>
      <c r="M292" s="312">
        <f t="shared" si="45"/>
        <v>0.0013982808022922637</v>
      </c>
      <c r="N292" s="18">
        <v>0</v>
      </c>
      <c r="O292" s="19">
        <f>L292</f>
        <v>1220</v>
      </c>
      <c r="P292" s="17">
        <v>0</v>
      </c>
    </row>
    <row r="293" spans="1:16" s="199" customFormat="1" ht="16.5" customHeight="1">
      <c r="A293" s="213" t="s">
        <v>175</v>
      </c>
      <c r="B293" s="213"/>
      <c r="C293" s="214" t="s">
        <v>176</v>
      </c>
      <c r="D293" s="186"/>
      <c r="E293" s="186"/>
      <c r="F293" s="186"/>
      <c r="G293" s="186"/>
      <c r="H293" s="186"/>
      <c r="I293" s="186"/>
      <c r="J293" s="186"/>
      <c r="K293" s="186">
        <f>SUM(K294:K298)</f>
        <v>8752</v>
      </c>
      <c r="L293" s="186">
        <f>SUM(L294:L298)</f>
        <v>1236</v>
      </c>
      <c r="M293" s="185">
        <f t="shared" si="45"/>
        <v>0.14122486288848263</v>
      </c>
      <c r="N293" s="186">
        <f>SUM(N297:N298)</f>
        <v>0</v>
      </c>
      <c r="O293" s="186">
        <f>SUM(O294:O298)</f>
        <v>1236</v>
      </c>
      <c r="P293" s="186">
        <f>SUM(P297:P298)</f>
        <v>0</v>
      </c>
    </row>
    <row r="294" spans="1:16" s="199" customFormat="1" ht="16.5" customHeight="1">
      <c r="A294" s="15"/>
      <c r="B294" s="28" t="s">
        <v>619</v>
      </c>
      <c r="C294" s="10" t="s">
        <v>620</v>
      </c>
      <c r="D294" s="6"/>
      <c r="E294" s="6"/>
      <c r="F294" s="6"/>
      <c r="G294" s="6"/>
      <c r="H294" s="6"/>
      <c r="I294" s="6"/>
      <c r="J294" s="6"/>
      <c r="K294" s="18">
        <v>4156</v>
      </c>
      <c r="L294" s="18">
        <v>1025</v>
      </c>
      <c r="M294" s="312">
        <f t="shared" si="45"/>
        <v>0.24663137632338789</v>
      </c>
      <c r="N294" s="18">
        <v>0</v>
      </c>
      <c r="O294" s="18">
        <f>L294</f>
        <v>1025</v>
      </c>
      <c r="P294" s="18"/>
    </row>
    <row r="295" spans="1:16" s="199" customFormat="1" ht="15.75" customHeight="1">
      <c r="A295" s="15"/>
      <c r="B295" s="28" t="s">
        <v>652</v>
      </c>
      <c r="C295" s="10" t="s">
        <v>690</v>
      </c>
      <c r="D295" s="6"/>
      <c r="E295" s="6"/>
      <c r="F295" s="6"/>
      <c r="G295" s="6"/>
      <c r="H295" s="6"/>
      <c r="I295" s="6"/>
      <c r="J295" s="6"/>
      <c r="K295" s="18">
        <v>756</v>
      </c>
      <c r="L295" s="18">
        <v>186</v>
      </c>
      <c r="M295" s="312">
        <f t="shared" si="45"/>
        <v>0.24603174603174602</v>
      </c>
      <c r="N295" s="18">
        <v>0</v>
      </c>
      <c r="O295" s="18">
        <f>L295</f>
        <v>186</v>
      </c>
      <c r="P295" s="18"/>
    </row>
    <row r="296" spans="1:16" s="199" customFormat="1" ht="17.25" customHeight="1">
      <c r="A296" s="15"/>
      <c r="B296" s="28" t="s">
        <v>627</v>
      </c>
      <c r="C296" s="10" t="s">
        <v>628</v>
      </c>
      <c r="D296" s="6"/>
      <c r="E296" s="6"/>
      <c r="F296" s="6"/>
      <c r="G296" s="6"/>
      <c r="H296" s="6"/>
      <c r="I296" s="6"/>
      <c r="J296" s="6"/>
      <c r="K296" s="18">
        <v>102</v>
      </c>
      <c r="L296" s="18">
        <v>25</v>
      </c>
      <c r="M296" s="312">
        <f t="shared" si="45"/>
        <v>0.24509803921568626</v>
      </c>
      <c r="N296" s="18">
        <v>0</v>
      </c>
      <c r="O296" s="18">
        <f>L296</f>
        <v>25</v>
      </c>
      <c r="P296" s="18"/>
    </row>
    <row r="297" spans="1:16" s="200" customFormat="1" ht="15" customHeight="1">
      <c r="A297" s="26"/>
      <c r="B297" s="26" t="s">
        <v>629</v>
      </c>
      <c r="C297" s="27" t="s">
        <v>630</v>
      </c>
      <c r="D297" s="18"/>
      <c r="E297" s="18"/>
      <c r="F297" s="18"/>
      <c r="G297" s="18"/>
      <c r="H297" s="7"/>
      <c r="I297" s="7"/>
      <c r="J297" s="7"/>
      <c r="K297" s="7">
        <v>3550</v>
      </c>
      <c r="L297" s="7">
        <v>0</v>
      </c>
      <c r="M297" s="312">
        <f t="shared" si="45"/>
        <v>0</v>
      </c>
      <c r="N297" s="18">
        <v>0</v>
      </c>
      <c r="O297" s="18">
        <f>L297</f>
        <v>0</v>
      </c>
      <c r="P297" s="19">
        <v>0</v>
      </c>
    </row>
    <row r="298" spans="1:16" s="200" customFormat="1" ht="17.25" customHeight="1">
      <c r="A298" s="15"/>
      <c r="B298" s="26" t="s">
        <v>641</v>
      </c>
      <c r="C298" s="7" t="s">
        <v>642</v>
      </c>
      <c r="D298" s="18"/>
      <c r="E298" s="18"/>
      <c r="F298" s="18"/>
      <c r="G298" s="18"/>
      <c r="H298" s="7"/>
      <c r="I298" s="7"/>
      <c r="J298" s="7"/>
      <c r="K298" s="7">
        <v>188</v>
      </c>
      <c r="L298" s="7">
        <v>0</v>
      </c>
      <c r="M298" s="312">
        <f t="shared" si="45"/>
        <v>0</v>
      </c>
      <c r="N298" s="18">
        <v>0</v>
      </c>
      <c r="O298" s="18">
        <f>L298</f>
        <v>0</v>
      </c>
      <c r="P298" s="19"/>
    </row>
    <row r="299" spans="1:16" s="200" customFormat="1" ht="24.75" customHeight="1">
      <c r="A299" s="215" t="s">
        <v>98</v>
      </c>
      <c r="B299" s="351"/>
      <c r="C299" s="214" t="s">
        <v>435</v>
      </c>
      <c r="D299" s="186" t="e">
        <f>#REF!</f>
        <v>#REF!</v>
      </c>
      <c r="E299" s="186" t="e">
        <f>#REF!+E300+#REF!</f>
        <v>#REF!</v>
      </c>
      <c r="F299" s="186" t="e">
        <f>#REF!+F300+#REF!</f>
        <v>#REF!</v>
      </c>
      <c r="G299" s="186" t="e">
        <f>#REF!+G300+#REF!</f>
        <v>#REF!</v>
      </c>
      <c r="H299" s="186">
        <f aca="true" t="shared" si="49" ref="H299:P299">H300</f>
        <v>363000</v>
      </c>
      <c r="I299" s="186">
        <f t="shared" si="49"/>
        <v>0</v>
      </c>
      <c r="J299" s="186">
        <f t="shared" si="49"/>
        <v>0</v>
      </c>
      <c r="K299" s="186">
        <f>K300</f>
        <v>545000</v>
      </c>
      <c r="L299" s="186">
        <f>L300</f>
        <v>93491</v>
      </c>
      <c r="M299" s="185">
        <f t="shared" si="45"/>
        <v>0.17154311926605503</v>
      </c>
      <c r="N299" s="186">
        <f t="shared" si="49"/>
        <v>93491</v>
      </c>
      <c r="O299" s="186">
        <f t="shared" si="49"/>
        <v>0</v>
      </c>
      <c r="P299" s="186">
        <f t="shared" si="49"/>
        <v>0</v>
      </c>
    </row>
    <row r="300" spans="1:16" s="200" customFormat="1" ht="13.5" customHeight="1">
      <c r="A300" s="21"/>
      <c r="B300" s="26" t="s">
        <v>99</v>
      </c>
      <c r="C300" s="10" t="s">
        <v>100</v>
      </c>
      <c r="D300" s="7"/>
      <c r="E300" s="7">
        <v>47223</v>
      </c>
      <c r="F300" s="7">
        <v>0</v>
      </c>
      <c r="G300" s="7">
        <v>0</v>
      </c>
      <c r="H300" s="7">
        <v>363000</v>
      </c>
      <c r="I300" s="7">
        <v>0</v>
      </c>
      <c r="J300" s="7">
        <v>0</v>
      </c>
      <c r="K300" s="7">
        <v>545000</v>
      </c>
      <c r="L300" s="7">
        <v>93491</v>
      </c>
      <c r="M300" s="312">
        <f t="shared" si="45"/>
        <v>0.17154311926605503</v>
      </c>
      <c r="N300" s="7">
        <f>L300</f>
        <v>93491</v>
      </c>
      <c r="O300" s="22">
        <v>0</v>
      </c>
      <c r="P300" s="22">
        <v>0</v>
      </c>
    </row>
    <row r="301" spans="1:16" s="200" customFormat="1" ht="17.25" customHeight="1">
      <c r="A301" s="190" t="s">
        <v>27</v>
      </c>
      <c r="B301" s="190"/>
      <c r="C301" s="191" t="s">
        <v>34</v>
      </c>
      <c r="D301" s="191" t="e">
        <f>D302+D320+D336+#REF!+D341+#REF!+#REF!+D377</f>
        <v>#REF!</v>
      </c>
      <c r="E301" s="191" t="e">
        <f>E302+E320+E336+#REF!+E341+#REF!+#REF!+#REF!+E377+#REF!</f>
        <v>#REF!</v>
      </c>
      <c r="F301" s="191" t="e">
        <f>F302+F320+F336+#REF!+F341+#REF!+#REF!+#REF!+F377+#REF!</f>
        <v>#REF!</v>
      </c>
      <c r="G301" s="191" t="e">
        <f>G302+G320+G336+#REF!+G341+#REF!+#REF!+#REF!+G377+#REF!</f>
        <v>#REF!</v>
      </c>
      <c r="H301" s="191" t="e">
        <f>H302+H320+H336+#REF!+H341+#REF!+#REF!+#REF!+H377+#REF!</f>
        <v>#REF!</v>
      </c>
      <c r="I301" s="191" t="e">
        <f>I302+I320+I336+#REF!+I341+#REF!+#REF!+#REF!+I377+#REF!</f>
        <v>#REF!</v>
      </c>
      <c r="J301" s="191" t="e">
        <f>J302+J320+J336+#REF!+J341+#REF!+#REF!+#REF!+J377+#REF!</f>
        <v>#REF!</v>
      </c>
      <c r="K301" s="191">
        <f>K302+K320+K336+K341+K354+K365+K367</f>
        <v>3344782</v>
      </c>
      <c r="L301" s="191">
        <f>L302+L320+L336+L341+L354+L365+L367</f>
        <v>893049</v>
      </c>
      <c r="M301" s="405">
        <f t="shared" si="45"/>
        <v>0.2669976698032936</v>
      </c>
      <c r="N301" s="191">
        <f>N302+N320+N336+N341+N354+N365+N367</f>
        <v>0</v>
      </c>
      <c r="O301" s="191">
        <f>O302+O320+O336+O341+O354+O365+O367</f>
        <v>808056</v>
      </c>
      <c r="P301" s="191">
        <f>P302+P320+P336+P341+P354+P365+P367</f>
        <v>84993</v>
      </c>
    </row>
    <row r="302" spans="1:16" s="200" customFormat="1" ht="14.25" customHeight="1">
      <c r="A302" s="213" t="s">
        <v>29</v>
      </c>
      <c r="B302" s="213"/>
      <c r="C302" s="214" t="s">
        <v>102</v>
      </c>
      <c r="D302" s="186" t="e">
        <f>D305+D306+D307+#REF!</f>
        <v>#REF!</v>
      </c>
      <c r="E302" s="186" t="e">
        <f>E305+E306+E307+E308+#REF!+E303+#REF!+E304+E310+E311+#REF!+E313+#REF!+E314+E316+E317+E318+#REF!</f>
        <v>#REF!</v>
      </c>
      <c r="F302" s="186" t="e">
        <f>F305+F306+F307+F308+#REF!+F303+#REF!+F304+F310+F311+#REF!+F313+#REF!+F314+F316+F317+F318+#REF!</f>
        <v>#REF!</v>
      </c>
      <c r="G302" s="186" t="e">
        <f>G305+G306+G307+G308+#REF!+G303+#REF!+G304+G310+G311+#REF!+G313+#REF!+G314+G316+G317+G318+#REF!</f>
        <v>#REF!</v>
      </c>
      <c r="H302" s="186" t="e">
        <f>H305+H306+H307+H308+H303+H304+H310+H311+H313+H314+H316+H317+H318+#REF!+H312</f>
        <v>#REF!</v>
      </c>
      <c r="I302" s="186" t="e">
        <f>I305+I306+I307+I308+I303+I304+I310+I311+I313+I314+I316+I317+I318+#REF!+I312</f>
        <v>#REF!</v>
      </c>
      <c r="J302" s="186" t="e">
        <f>J305+J306+J307+J308+J303+J304+J310+J311+J313+J314+J316+J317+J318+#REF!+J312</f>
        <v>#REF!</v>
      </c>
      <c r="K302" s="186">
        <f aca="true" t="shared" si="50" ref="K302:P302">SUM(K303:K319)</f>
        <v>1262605</v>
      </c>
      <c r="L302" s="186">
        <f t="shared" si="50"/>
        <v>328494</v>
      </c>
      <c r="M302" s="185">
        <f t="shared" si="45"/>
        <v>0.26017162929023724</v>
      </c>
      <c r="N302" s="186">
        <f t="shared" si="50"/>
        <v>0</v>
      </c>
      <c r="O302" s="186">
        <f t="shared" si="50"/>
        <v>250000</v>
      </c>
      <c r="P302" s="186">
        <f t="shared" si="50"/>
        <v>78494</v>
      </c>
    </row>
    <row r="303" spans="1:16" s="200" customFormat="1" ht="14.25" customHeight="1">
      <c r="A303" s="15"/>
      <c r="B303" s="26" t="s">
        <v>607</v>
      </c>
      <c r="C303" s="7" t="s">
        <v>97</v>
      </c>
      <c r="D303" s="7"/>
      <c r="E303" s="7">
        <v>10492</v>
      </c>
      <c r="F303" s="7">
        <v>0</v>
      </c>
      <c r="G303" s="7">
        <v>0</v>
      </c>
      <c r="H303" s="7">
        <v>2952</v>
      </c>
      <c r="I303" s="7">
        <v>0</v>
      </c>
      <c r="J303" s="7">
        <v>0</v>
      </c>
      <c r="K303" s="7">
        <v>635</v>
      </c>
      <c r="L303" s="7">
        <v>0</v>
      </c>
      <c r="M303" s="312">
        <f t="shared" si="45"/>
        <v>0</v>
      </c>
      <c r="N303" s="7">
        <v>0</v>
      </c>
      <c r="O303" s="22">
        <f>L303</f>
        <v>0</v>
      </c>
      <c r="P303" s="22">
        <v>0</v>
      </c>
    </row>
    <row r="304" spans="1:16" s="200" customFormat="1" ht="14.25" customHeight="1">
      <c r="A304" s="15"/>
      <c r="B304" s="26" t="s">
        <v>104</v>
      </c>
      <c r="C304" s="7" t="s">
        <v>105</v>
      </c>
      <c r="D304" s="7"/>
      <c r="E304" s="7">
        <v>101199</v>
      </c>
      <c r="F304" s="7">
        <v>0</v>
      </c>
      <c r="G304" s="7">
        <v>0</v>
      </c>
      <c r="H304" s="7">
        <v>103850</v>
      </c>
      <c r="I304" s="7">
        <v>0</v>
      </c>
      <c r="J304" s="7">
        <v>0</v>
      </c>
      <c r="K304" s="7">
        <v>93595</v>
      </c>
      <c r="L304" s="7">
        <v>14940</v>
      </c>
      <c r="M304" s="312">
        <f t="shared" si="45"/>
        <v>0.15962391153373579</v>
      </c>
      <c r="N304" s="7">
        <v>0</v>
      </c>
      <c r="O304" s="22">
        <f aca="true" t="shared" si="51" ref="O304:O318">L304</f>
        <v>14940</v>
      </c>
      <c r="P304" s="22">
        <v>0</v>
      </c>
    </row>
    <row r="305" spans="1:16" s="200" customFormat="1" ht="15" customHeight="1">
      <c r="A305" s="15"/>
      <c r="B305" s="26" t="s">
        <v>619</v>
      </c>
      <c r="C305" s="10" t="s">
        <v>620</v>
      </c>
      <c r="D305" s="7">
        <v>956632</v>
      </c>
      <c r="E305" s="7">
        <v>1089025</v>
      </c>
      <c r="F305" s="7">
        <v>0</v>
      </c>
      <c r="G305" s="7">
        <v>0</v>
      </c>
      <c r="H305" s="7">
        <v>335820</v>
      </c>
      <c r="I305" s="7">
        <v>0</v>
      </c>
      <c r="J305" s="7">
        <v>0</v>
      </c>
      <c r="K305" s="7">
        <v>472700</v>
      </c>
      <c r="L305" s="7">
        <v>104739</v>
      </c>
      <c r="M305" s="312">
        <f t="shared" si="45"/>
        <v>0.22157605246456527</v>
      </c>
      <c r="N305" s="7">
        <v>0</v>
      </c>
      <c r="O305" s="22">
        <f t="shared" si="51"/>
        <v>104739</v>
      </c>
      <c r="P305" s="22">
        <v>0</v>
      </c>
    </row>
    <row r="306" spans="1:16" s="200" customFormat="1" ht="14.25" customHeight="1">
      <c r="A306" s="15"/>
      <c r="B306" s="26" t="s">
        <v>623</v>
      </c>
      <c r="C306" s="10" t="s">
        <v>624</v>
      </c>
      <c r="D306" s="10">
        <v>70520</v>
      </c>
      <c r="E306" s="7">
        <v>77400</v>
      </c>
      <c r="F306" s="7">
        <v>0</v>
      </c>
      <c r="G306" s="7">
        <v>0</v>
      </c>
      <c r="H306" s="7">
        <v>29155</v>
      </c>
      <c r="I306" s="7">
        <v>0</v>
      </c>
      <c r="J306" s="7">
        <v>0</v>
      </c>
      <c r="K306" s="7">
        <v>33919</v>
      </c>
      <c r="L306" s="7">
        <v>33919</v>
      </c>
      <c r="M306" s="312">
        <f t="shared" si="45"/>
        <v>1</v>
      </c>
      <c r="N306" s="7">
        <v>0</v>
      </c>
      <c r="O306" s="22">
        <f t="shared" si="51"/>
        <v>33919</v>
      </c>
      <c r="P306" s="22">
        <v>0</v>
      </c>
    </row>
    <row r="307" spans="1:16" s="200" customFormat="1" ht="15" customHeight="1">
      <c r="A307" s="15"/>
      <c r="B307" s="23" t="s">
        <v>675</v>
      </c>
      <c r="C307" s="10" t="s">
        <v>690</v>
      </c>
      <c r="D307" s="7">
        <v>208573</v>
      </c>
      <c r="E307" s="7">
        <v>207904</v>
      </c>
      <c r="F307" s="7">
        <v>0</v>
      </c>
      <c r="G307" s="7">
        <v>0</v>
      </c>
      <c r="H307" s="7">
        <v>65200</v>
      </c>
      <c r="I307" s="7">
        <v>0</v>
      </c>
      <c r="J307" s="7">
        <v>0</v>
      </c>
      <c r="K307" s="7">
        <v>79627</v>
      </c>
      <c r="L307" s="7">
        <v>24314</v>
      </c>
      <c r="M307" s="312">
        <f t="shared" si="45"/>
        <v>0.30534868825900763</v>
      </c>
      <c r="N307" s="7">
        <v>0</v>
      </c>
      <c r="O307" s="22">
        <f t="shared" si="51"/>
        <v>24314</v>
      </c>
      <c r="P307" s="22">
        <v>0</v>
      </c>
    </row>
    <row r="308" spans="1:16" s="200" customFormat="1" ht="13.5" customHeight="1">
      <c r="A308" s="15"/>
      <c r="B308" s="23" t="s">
        <v>627</v>
      </c>
      <c r="C308" s="10" t="s">
        <v>628</v>
      </c>
      <c r="D308" s="7"/>
      <c r="E308" s="7">
        <v>27489</v>
      </c>
      <c r="F308" s="7">
        <v>0</v>
      </c>
      <c r="G308" s="7">
        <v>0</v>
      </c>
      <c r="H308" s="7">
        <v>8940</v>
      </c>
      <c r="I308" s="7">
        <v>0</v>
      </c>
      <c r="J308" s="7">
        <v>0</v>
      </c>
      <c r="K308" s="7">
        <v>11025</v>
      </c>
      <c r="L308" s="7">
        <v>3316</v>
      </c>
      <c r="M308" s="312">
        <f t="shared" si="45"/>
        <v>0.3007709750566893</v>
      </c>
      <c r="N308" s="7">
        <v>0</v>
      </c>
      <c r="O308" s="22">
        <f t="shared" si="51"/>
        <v>3316</v>
      </c>
      <c r="P308" s="22">
        <v>0</v>
      </c>
    </row>
    <row r="309" spans="1:16" s="200" customFormat="1" ht="13.5" customHeight="1">
      <c r="A309" s="15"/>
      <c r="B309" s="23" t="s">
        <v>470</v>
      </c>
      <c r="C309" s="7" t="s">
        <v>483</v>
      </c>
      <c r="D309" s="7"/>
      <c r="E309" s="7"/>
      <c r="F309" s="7"/>
      <c r="G309" s="7"/>
      <c r="H309" s="7"/>
      <c r="I309" s="7"/>
      <c r="J309" s="7"/>
      <c r="K309" s="7">
        <v>1600</v>
      </c>
      <c r="L309" s="7">
        <v>1600</v>
      </c>
      <c r="M309" s="312">
        <f t="shared" si="45"/>
        <v>1</v>
      </c>
      <c r="N309" s="7"/>
      <c r="O309" s="22">
        <f t="shared" si="51"/>
        <v>1600</v>
      </c>
      <c r="P309" s="22"/>
    </row>
    <row r="310" spans="1:16" s="200" customFormat="1" ht="14.25" customHeight="1">
      <c r="A310" s="15"/>
      <c r="B310" s="26" t="s">
        <v>629</v>
      </c>
      <c r="C310" s="7" t="s">
        <v>65</v>
      </c>
      <c r="D310" s="7"/>
      <c r="E310" s="7">
        <v>96956</v>
      </c>
      <c r="F310" s="7">
        <v>0</v>
      </c>
      <c r="G310" s="7">
        <v>0</v>
      </c>
      <c r="H310" s="7">
        <v>36573</v>
      </c>
      <c r="I310" s="7">
        <v>0</v>
      </c>
      <c r="J310" s="7">
        <v>0</v>
      </c>
      <c r="K310" s="7">
        <v>42532</v>
      </c>
      <c r="L310" s="7">
        <v>5874</v>
      </c>
      <c r="M310" s="312">
        <f t="shared" si="45"/>
        <v>0.1381077776732813</v>
      </c>
      <c r="N310" s="7">
        <v>0</v>
      </c>
      <c r="O310" s="22">
        <f t="shared" si="51"/>
        <v>5874</v>
      </c>
      <c r="P310" s="22">
        <v>0</v>
      </c>
    </row>
    <row r="311" spans="1:16" s="200" customFormat="1" ht="16.5" customHeight="1">
      <c r="A311" s="15"/>
      <c r="B311" s="26" t="s">
        <v>16</v>
      </c>
      <c r="C311" s="7" t="s">
        <v>106</v>
      </c>
      <c r="D311" s="7"/>
      <c r="E311" s="7">
        <v>188099</v>
      </c>
      <c r="F311" s="7">
        <v>0</v>
      </c>
      <c r="G311" s="7">
        <v>0</v>
      </c>
      <c r="H311" s="18">
        <v>50136</v>
      </c>
      <c r="I311" s="7">
        <v>0</v>
      </c>
      <c r="J311" s="7">
        <v>0</v>
      </c>
      <c r="K311" s="7">
        <v>63000</v>
      </c>
      <c r="L311" s="7">
        <v>13751</v>
      </c>
      <c r="M311" s="312">
        <f t="shared" si="45"/>
        <v>0.21826984126984128</v>
      </c>
      <c r="N311" s="7">
        <v>0</v>
      </c>
      <c r="O311" s="22">
        <f t="shared" si="51"/>
        <v>13751</v>
      </c>
      <c r="P311" s="22">
        <v>0</v>
      </c>
    </row>
    <row r="312" spans="1:16" s="200" customFormat="1" ht="15.75" customHeight="1">
      <c r="A312" s="15"/>
      <c r="B312" s="26" t="s">
        <v>109</v>
      </c>
      <c r="C312" s="7" t="s">
        <v>110</v>
      </c>
      <c r="D312" s="7"/>
      <c r="E312" s="7"/>
      <c r="F312" s="7"/>
      <c r="G312" s="7"/>
      <c r="H312" s="18">
        <v>1500</v>
      </c>
      <c r="I312" s="7">
        <v>0</v>
      </c>
      <c r="J312" s="7">
        <v>0</v>
      </c>
      <c r="K312" s="7">
        <v>2400</v>
      </c>
      <c r="L312" s="7">
        <v>1140</v>
      </c>
      <c r="M312" s="312">
        <f t="shared" si="45"/>
        <v>0.475</v>
      </c>
      <c r="N312" s="7">
        <v>0</v>
      </c>
      <c r="O312" s="22">
        <f t="shared" si="51"/>
        <v>1140</v>
      </c>
      <c r="P312" s="22">
        <v>0</v>
      </c>
    </row>
    <row r="313" spans="1:16" s="200" customFormat="1" ht="16.5" customHeight="1">
      <c r="A313" s="15"/>
      <c r="B313" s="26" t="s">
        <v>631</v>
      </c>
      <c r="C313" s="7" t="s">
        <v>20</v>
      </c>
      <c r="D313" s="7"/>
      <c r="E313" s="7">
        <v>82690</v>
      </c>
      <c r="F313" s="7">
        <v>0</v>
      </c>
      <c r="G313" s="7">
        <v>0</v>
      </c>
      <c r="H313" s="7">
        <v>63330</v>
      </c>
      <c r="I313" s="7">
        <v>0</v>
      </c>
      <c r="J313" s="7">
        <v>0</v>
      </c>
      <c r="K313" s="7">
        <v>93865</v>
      </c>
      <c r="L313" s="7">
        <v>34799</v>
      </c>
      <c r="M313" s="312">
        <f t="shared" si="45"/>
        <v>0.3707345655995312</v>
      </c>
      <c r="N313" s="7">
        <v>0</v>
      </c>
      <c r="O313" s="22">
        <f t="shared" si="51"/>
        <v>34799</v>
      </c>
      <c r="P313" s="22">
        <v>0</v>
      </c>
    </row>
    <row r="314" spans="1:16" s="200" customFormat="1" ht="16.5" customHeight="1">
      <c r="A314" s="15"/>
      <c r="B314" s="26" t="s">
        <v>635</v>
      </c>
      <c r="C314" s="7" t="s">
        <v>22</v>
      </c>
      <c r="D314" s="7"/>
      <c r="E314" s="7">
        <v>39235</v>
      </c>
      <c r="F314" s="7">
        <v>0</v>
      </c>
      <c r="G314" s="7">
        <v>0</v>
      </c>
      <c r="H314" s="7">
        <v>8500</v>
      </c>
      <c r="I314" s="7">
        <v>0</v>
      </c>
      <c r="J314" s="7">
        <v>0</v>
      </c>
      <c r="K314" s="7">
        <v>22260</v>
      </c>
      <c r="L314" s="7">
        <v>5640</v>
      </c>
      <c r="M314" s="312">
        <f t="shared" si="45"/>
        <v>0.25336927223719674</v>
      </c>
      <c r="N314" s="7">
        <v>0</v>
      </c>
      <c r="O314" s="22">
        <f t="shared" si="51"/>
        <v>5640</v>
      </c>
      <c r="P314" s="22">
        <v>0</v>
      </c>
    </row>
    <row r="315" spans="1:16" s="200" customFormat="1" ht="16.5" customHeight="1">
      <c r="A315" s="15"/>
      <c r="B315" s="26" t="s">
        <v>484</v>
      </c>
      <c r="C315" s="7" t="s">
        <v>177</v>
      </c>
      <c r="D315" s="7"/>
      <c r="E315" s="7"/>
      <c r="F315" s="7"/>
      <c r="G315" s="7"/>
      <c r="H315" s="7"/>
      <c r="I315" s="7"/>
      <c r="J315" s="7"/>
      <c r="K315" s="7">
        <v>1908</v>
      </c>
      <c r="L315" s="7">
        <v>476</v>
      </c>
      <c r="M315" s="312">
        <f t="shared" si="45"/>
        <v>0.24947589098532494</v>
      </c>
      <c r="N315" s="7">
        <v>0</v>
      </c>
      <c r="O315" s="22">
        <f t="shared" si="51"/>
        <v>476</v>
      </c>
      <c r="P315" s="22">
        <v>0</v>
      </c>
    </row>
    <row r="316" spans="1:16" s="200" customFormat="1" ht="16.5" customHeight="1">
      <c r="A316" s="15"/>
      <c r="B316" s="26" t="s">
        <v>637</v>
      </c>
      <c r="C316" s="7" t="s">
        <v>638</v>
      </c>
      <c r="D316" s="7"/>
      <c r="E316" s="7">
        <v>2500</v>
      </c>
      <c r="F316" s="7">
        <v>0</v>
      </c>
      <c r="G316" s="7">
        <v>0</v>
      </c>
      <c r="H316" s="7">
        <v>500</v>
      </c>
      <c r="I316" s="7">
        <v>0</v>
      </c>
      <c r="J316" s="7">
        <v>0</v>
      </c>
      <c r="K316" s="7">
        <v>2300</v>
      </c>
      <c r="L316" s="7">
        <v>492</v>
      </c>
      <c r="M316" s="312">
        <f t="shared" si="45"/>
        <v>0.21391304347826087</v>
      </c>
      <c r="N316" s="7">
        <v>0</v>
      </c>
      <c r="O316" s="22">
        <f t="shared" si="51"/>
        <v>492</v>
      </c>
      <c r="P316" s="22">
        <v>0</v>
      </c>
    </row>
    <row r="317" spans="1:16" s="200" customFormat="1" ht="16.5" customHeight="1">
      <c r="A317" s="15"/>
      <c r="B317" s="26" t="s">
        <v>639</v>
      </c>
      <c r="C317" s="7" t="s">
        <v>640</v>
      </c>
      <c r="D317" s="7"/>
      <c r="E317" s="7">
        <v>3300</v>
      </c>
      <c r="F317" s="7">
        <v>0</v>
      </c>
      <c r="G317" s="7">
        <v>0</v>
      </c>
      <c r="H317" s="7">
        <v>700</v>
      </c>
      <c r="I317" s="7">
        <v>0</v>
      </c>
      <c r="J317" s="7">
        <v>0</v>
      </c>
      <c r="K317" s="7">
        <v>720</v>
      </c>
      <c r="L317" s="7">
        <v>0</v>
      </c>
      <c r="M317" s="312">
        <f t="shared" si="45"/>
        <v>0</v>
      </c>
      <c r="N317" s="7">
        <v>0</v>
      </c>
      <c r="O317" s="22">
        <f t="shared" si="51"/>
        <v>0</v>
      </c>
      <c r="P317" s="22">
        <v>0</v>
      </c>
    </row>
    <row r="318" spans="1:16" s="200" customFormat="1" ht="14.25" customHeight="1">
      <c r="A318" s="15"/>
      <c r="B318" s="26" t="s">
        <v>641</v>
      </c>
      <c r="C318" s="7" t="s">
        <v>642</v>
      </c>
      <c r="D318" s="7"/>
      <c r="E318" s="7">
        <v>50719</v>
      </c>
      <c r="F318" s="7">
        <v>0</v>
      </c>
      <c r="G318" s="7">
        <v>0</v>
      </c>
      <c r="H318" s="7">
        <v>14000</v>
      </c>
      <c r="I318" s="7">
        <v>0</v>
      </c>
      <c r="J318" s="7">
        <v>0</v>
      </c>
      <c r="K318" s="7">
        <v>25289</v>
      </c>
      <c r="L318" s="7">
        <v>5000</v>
      </c>
      <c r="M318" s="312">
        <f t="shared" si="45"/>
        <v>0.1977144212898889</v>
      </c>
      <c r="N318" s="7">
        <v>0</v>
      </c>
      <c r="O318" s="22">
        <f t="shared" si="51"/>
        <v>5000</v>
      </c>
      <c r="P318" s="22">
        <v>0</v>
      </c>
    </row>
    <row r="319" spans="1:16" s="200" customFormat="1" ht="21.75" customHeight="1">
      <c r="A319" s="15"/>
      <c r="B319" s="26" t="s">
        <v>83</v>
      </c>
      <c r="C319" s="274" t="s">
        <v>312</v>
      </c>
      <c r="D319" s="7"/>
      <c r="E319" s="7"/>
      <c r="F319" s="7"/>
      <c r="G319" s="7"/>
      <c r="H319" s="7"/>
      <c r="I319" s="7"/>
      <c r="J319" s="7"/>
      <c r="K319" s="7">
        <v>315230</v>
      </c>
      <c r="L319" s="7">
        <v>78494</v>
      </c>
      <c r="M319" s="312">
        <f t="shared" si="45"/>
        <v>0.24900548805633982</v>
      </c>
      <c r="N319" s="7">
        <v>0</v>
      </c>
      <c r="O319" s="22">
        <v>0</v>
      </c>
      <c r="P319" s="22">
        <f>L319</f>
        <v>78494</v>
      </c>
    </row>
    <row r="320" spans="1:16" s="200" customFormat="1" ht="15.75" customHeight="1">
      <c r="A320" s="213" t="s">
        <v>30</v>
      </c>
      <c r="B320" s="213"/>
      <c r="C320" s="214" t="s">
        <v>108</v>
      </c>
      <c r="D320" s="186">
        <f>D321+D322+D323+D324</f>
        <v>722000</v>
      </c>
      <c r="E320" s="186" t="e">
        <f>E321+E322+E323+E324+#REF!+E331+E325+E326+E327+E328+#REF!+E330+#REF!+E332+E333+E334</f>
        <v>#REF!</v>
      </c>
      <c r="F320" s="186" t="e">
        <f>F321+F322+F323+F324+#REF!+F331+F325+F326+F327+F328+#REF!+F330+#REF!+F332+F333+F334</f>
        <v>#REF!</v>
      </c>
      <c r="G320" s="186" t="e">
        <f>G321+G322+G323+G324+#REF!+G331+G325+G326+G327+G328+#REF!+G330+#REF!+G332+G333+G334</f>
        <v>#REF!</v>
      </c>
      <c r="H320" s="186" t="e">
        <f>H321+H322+H323+H324+#REF!+H331+H325+H326+H327+H328+H330+#REF!+H332+H333+H334+H335+H329</f>
        <v>#REF!</v>
      </c>
      <c r="I320" s="186" t="e">
        <f>I321+I322+I323+I324+#REF!+I331+I325+I326+I327+I328+I330+#REF!+I332+I333+I334+I335+I329</f>
        <v>#REF!</v>
      </c>
      <c r="J320" s="186" t="e">
        <f>J321+J322+J323+J324+#REF!+J331+J325+J326+J327+J328+J330+#REF!+J332+J333+J334+J335+J329</f>
        <v>#REF!</v>
      </c>
      <c r="K320" s="186">
        <f aca="true" t="shared" si="52" ref="K320:P320">SUM(K321:K335)</f>
        <v>862085</v>
      </c>
      <c r="L320" s="186">
        <f t="shared" si="52"/>
        <v>226969</v>
      </c>
      <c r="M320" s="185">
        <f t="shared" si="45"/>
        <v>0.26327914300794003</v>
      </c>
      <c r="N320" s="186">
        <f t="shared" si="52"/>
        <v>0</v>
      </c>
      <c r="O320" s="186">
        <f t="shared" si="52"/>
        <v>226969</v>
      </c>
      <c r="P320" s="186">
        <f t="shared" si="52"/>
        <v>0</v>
      </c>
    </row>
    <row r="321" spans="1:16" s="200" customFormat="1" ht="14.25" customHeight="1">
      <c r="A321" s="21"/>
      <c r="B321" s="26" t="s">
        <v>619</v>
      </c>
      <c r="C321" s="10" t="s">
        <v>620</v>
      </c>
      <c r="D321" s="7">
        <v>365300</v>
      </c>
      <c r="E321" s="7">
        <v>330000</v>
      </c>
      <c r="F321" s="7">
        <v>17400</v>
      </c>
      <c r="G321" s="7">
        <v>0</v>
      </c>
      <c r="H321" s="7">
        <v>350982</v>
      </c>
      <c r="I321" s="7">
        <v>0</v>
      </c>
      <c r="J321" s="7">
        <v>0</v>
      </c>
      <c r="K321" s="7">
        <v>393290</v>
      </c>
      <c r="L321" s="7">
        <v>86149</v>
      </c>
      <c r="M321" s="312">
        <f t="shared" si="45"/>
        <v>0.21904701365404664</v>
      </c>
      <c r="N321" s="7">
        <v>0</v>
      </c>
      <c r="O321" s="22">
        <f>L321</f>
        <v>86149</v>
      </c>
      <c r="P321" s="22">
        <v>0</v>
      </c>
    </row>
    <row r="322" spans="1:16" s="200" customFormat="1" ht="14.25" customHeight="1">
      <c r="A322" s="21"/>
      <c r="B322" s="26" t="s">
        <v>623</v>
      </c>
      <c r="C322" s="10" t="s">
        <v>624</v>
      </c>
      <c r="D322" s="7">
        <v>30580</v>
      </c>
      <c r="E322" s="7">
        <v>31050</v>
      </c>
      <c r="F322" s="7">
        <v>0</v>
      </c>
      <c r="G322" s="7">
        <v>0</v>
      </c>
      <c r="H322" s="7">
        <v>23796</v>
      </c>
      <c r="I322" s="7">
        <v>0</v>
      </c>
      <c r="J322" s="7">
        <v>0</v>
      </c>
      <c r="K322" s="7">
        <v>31265</v>
      </c>
      <c r="L322" s="7">
        <v>30088</v>
      </c>
      <c r="M322" s="312">
        <f t="shared" si="45"/>
        <v>0.9623540700463777</v>
      </c>
      <c r="N322" s="7">
        <v>0</v>
      </c>
      <c r="O322" s="22">
        <f aca="true" t="shared" si="53" ref="O322:O335">L322</f>
        <v>30088</v>
      </c>
      <c r="P322" s="22">
        <v>0</v>
      </c>
    </row>
    <row r="323" spans="1:16" s="200" customFormat="1" ht="14.25" customHeight="1">
      <c r="A323" s="21"/>
      <c r="B323" s="23" t="s">
        <v>675</v>
      </c>
      <c r="C323" s="10" t="s">
        <v>690</v>
      </c>
      <c r="D323" s="7">
        <v>77860</v>
      </c>
      <c r="E323" s="7">
        <v>64495</v>
      </c>
      <c r="F323" s="7">
        <v>0</v>
      </c>
      <c r="G323" s="7">
        <v>0</v>
      </c>
      <c r="H323" s="7">
        <v>73896</v>
      </c>
      <c r="I323" s="7">
        <v>0</v>
      </c>
      <c r="J323" s="7">
        <v>0</v>
      </c>
      <c r="K323" s="7">
        <v>69029</v>
      </c>
      <c r="L323" s="7">
        <v>17365</v>
      </c>
      <c r="M323" s="312">
        <f t="shared" si="45"/>
        <v>0.251560938156427</v>
      </c>
      <c r="N323" s="7">
        <v>0</v>
      </c>
      <c r="O323" s="22">
        <f t="shared" si="53"/>
        <v>17365</v>
      </c>
      <c r="P323" s="22">
        <v>0</v>
      </c>
    </row>
    <row r="324" spans="1:16" s="200" customFormat="1" ht="12.75" customHeight="1">
      <c r="A324" s="21"/>
      <c r="B324" s="26" t="s">
        <v>627</v>
      </c>
      <c r="C324" s="7" t="s">
        <v>628</v>
      </c>
      <c r="D324" s="7">
        <v>248260</v>
      </c>
      <c r="E324" s="7">
        <v>8850</v>
      </c>
      <c r="F324" s="7">
        <v>0</v>
      </c>
      <c r="G324" s="7">
        <v>0</v>
      </c>
      <c r="H324" s="7">
        <v>9182</v>
      </c>
      <c r="I324" s="7">
        <v>0</v>
      </c>
      <c r="J324" s="7">
        <v>0</v>
      </c>
      <c r="K324" s="7">
        <v>9539</v>
      </c>
      <c r="L324" s="7">
        <v>2167</v>
      </c>
      <c r="M324" s="312">
        <f t="shared" si="45"/>
        <v>0.22717265960792535</v>
      </c>
      <c r="N324" s="7">
        <v>0</v>
      </c>
      <c r="O324" s="22">
        <f t="shared" si="53"/>
        <v>2167</v>
      </c>
      <c r="P324" s="22">
        <v>0</v>
      </c>
    </row>
    <row r="325" spans="1:16" s="200" customFormat="1" ht="13.5" customHeight="1">
      <c r="A325" s="21"/>
      <c r="B325" s="26" t="s">
        <v>629</v>
      </c>
      <c r="C325" s="7" t="s">
        <v>65</v>
      </c>
      <c r="D325" s="7"/>
      <c r="E325" s="7">
        <v>6795</v>
      </c>
      <c r="F325" s="7">
        <v>474</v>
      </c>
      <c r="G325" s="7">
        <v>0</v>
      </c>
      <c r="H325" s="18">
        <v>21937</v>
      </c>
      <c r="I325" s="7">
        <v>0</v>
      </c>
      <c r="J325" s="7">
        <v>0</v>
      </c>
      <c r="K325" s="7">
        <v>18800</v>
      </c>
      <c r="L325" s="7">
        <v>13644</v>
      </c>
      <c r="M325" s="312">
        <f t="shared" si="45"/>
        <v>0.7257446808510638</v>
      </c>
      <c r="N325" s="7">
        <v>0</v>
      </c>
      <c r="O325" s="22">
        <f t="shared" si="53"/>
        <v>13644</v>
      </c>
      <c r="P325" s="22">
        <v>0</v>
      </c>
    </row>
    <row r="326" spans="1:16" s="200" customFormat="1" ht="14.25" customHeight="1">
      <c r="A326" s="21"/>
      <c r="B326" s="26" t="s">
        <v>16</v>
      </c>
      <c r="C326" s="7" t="s">
        <v>106</v>
      </c>
      <c r="D326" s="7"/>
      <c r="E326" s="7">
        <v>40000</v>
      </c>
      <c r="F326" s="7">
        <v>10000</v>
      </c>
      <c r="G326" s="7">
        <v>0</v>
      </c>
      <c r="H326" s="18">
        <v>76000</v>
      </c>
      <c r="I326" s="7">
        <v>0</v>
      </c>
      <c r="J326" s="7">
        <v>0</v>
      </c>
      <c r="K326" s="7">
        <v>1000</v>
      </c>
      <c r="L326" s="7">
        <v>133</v>
      </c>
      <c r="M326" s="312">
        <f t="shared" si="45"/>
        <v>0.133</v>
      </c>
      <c r="N326" s="7">
        <v>0</v>
      </c>
      <c r="O326" s="22">
        <f t="shared" si="53"/>
        <v>133</v>
      </c>
      <c r="P326" s="22">
        <v>0</v>
      </c>
    </row>
    <row r="327" spans="1:16" s="200" customFormat="1" ht="12.75" customHeight="1">
      <c r="A327" s="21"/>
      <c r="B327" s="26" t="s">
        <v>109</v>
      </c>
      <c r="C327" s="7" t="s">
        <v>110</v>
      </c>
      <c r="D327" s="7"/>
      <c r="E327" s="7">
        <v>4000</v>
      </c>
      <c r="F327" s="7">
        <v>0</v>
      </c>
      <c r="G327" s="7">
        <v>0</v>
      </c>
      <c r="H327" s="18">
        <v>5800</v>
      </c>
      <c r="I327" s="7">
        <v>0</v>
      </c>
      <c r="J327" s="7">
        <v>0</v>
      </c>
      <c r="K327" s="7">
        <v>7500</v>
      </c>
      <c r="L327" s="7">
        <v>2768</v>
      </c>
      <c r="M327" s="312">
        <f t="shared" si="45"/>
        <v>0.36906666666666665</v>
      </c>
      <c r="N327" s="7">
        <v>0</v>
      </c>
      <c r="O327" s="22">
        <f t="shared" si="53"/>
        <v>2768</v>
      </c>
      <c r="P327" s="22">
        <v>0</v>
      </c>
    </row>
    <row r="328" spans="1:16" s="200" customFormat="1" ht="14.25" customHeight="1">
      <c r="A328" s="21"/>
      <c r="B328" s="26" t="s">
        <v>631</v>
      </c>
      <c r="C328" s="7" t="s">
        <v>20</v>
      </c>
      <c r="D328" s="7"/>
      <c r="E328" s="7">
        <v>62480</v>
      </c>
      <c r="F328" s="7">
        <v>4000</v>
      </c>
      <c r="G328" s="7">
        <v>0</v>
      </c>
      <c r="H328" s="18">
        <v>89314</v>
      </c>
      <c r="I328" s="7">
        <v>0</v>
      </c>
      <c r="J328" s="7">
        <v>0</v>
      </c>
      <c r="K328" s="7">
        <v>46340</v>
      </c>
      <c r="L328" s="7">
        <v>21934</v>
      </c>
      <c r="M328" s="312">
        <f t="shared" si="45"/>
        <v>0.47332757876564524</v>
      </c>
      <c r="N328" s="7">
        <v>0</v>
      </c>
      <c r="O328" s="22">
        <f t="shared" si="53"/>
        <v>21934</v>
      </c>
      <c r="P328" s="22">
        <v>0</v>
      </c>
    </row>
    <row r="329" spans="1:16" s="200" customFormat="1" ht="14.25" customHeight="1">
      <c r="A329" s="21"/>
      <c r="B329" s="26" t="s">
        <v>484</v>
      </c>
      <c r="C329" s="7" t="s">
        <v>485</v>
      </c>
      <c r="D329" s="7"/>
      <c r="E329" s="7"/>
      <c r="F329" s="7"/>
      <c r="G329" s="7"/>
      <c r="H329" s="18">
        <v>7119</v>
      </c>
      <c r="I329" s="7">
        <v>0</v>
      </c>
      <c r="J329" s="7">
        <v>0</v>
      </c>
      <c r="K329" s="7">
        <v>500</v>
      </c>
      <c r="L329" s="7">
        <v>198</v>
      </c>
      <c r="M329" s="312">
        <f t="shared" si="45"/>
        <v>0.396</v>
      </c>
      <c r="N329" s="7">
        <v>0</v>
      </c>
      <c r="O329" s="22">
        <f t="shared" si="53"/>
        <v>198</v>
      </c>
      <c r="P329" s="22">
        <v>0</v>
      </c>
    </row>
    <row r="330" spans="1:16" s="200" customFormat="1" ht="15.75" customHeight="1">
      <c r="A330" s="21"/>
      <c r="B330" s="26" t="s">
        <v>635</v>
      </c>
      <c r="C330" s="7" t="s">
        <v>22</v>
      </c>
      <c r="D330" s="7"/>
      <c r="E330" s="7">
        <v>5000</v>
      </c>
      <c r="F330" s="7">
        <v>0</v>
      </c>
      <c r="G330" s="7">
        <v>0</v>
      </c>
      <c r="H330" s="18">
        <v>32500</v>
      </c>
      <c r="I330" s="7">
        <v>0</v>
      </c>
      <c r="J330" s="7">
        <v>0</v>
      </c>
      <c r="K330" s="7">
        <v>155650</v>
      </c>
      <c r="L330" s="7">
        <v>49343</v>
      </c>
      <c r="M330" s="312">
        <f t="shared" si="45"/>
        <v>0.31701252810793445</v>
      </c>
      <c r="N330" s="7">
        <v>0</v>
      </c>
      <c r="O330" s="22">
        <f t="shared" si="53"/>
        <v>49343</v>
      </c>
      <c r="P330" s="22">
        <v>0</v>
      </c>
    </row>
    <row r="331" spans="1:16" s="200" customFormat="1" ht="15.75" customHeight="1">
      <c r="A331" s="21"/>
      <c r="B331" s="26" t="s">
        <v>637</v>
      </c>
      <c r="C331" s="7" t="s">
        <v>638</v>
      </c>
      <c r="D331" s="7"/>
      <c r="E331" s="7">
        <v>1000</v>
      </c>
      <c r="F331" s="7">
        <v>0</v>
      </c>
      <c r="G331" s="7">
        <v>0</v>
      </c>
      <c r="H331" s="18">
        <v>1050</v>
      </c>
      <c r="I331" s="7">
        <v>0</v>
      </c>
      <c r="J331" s="7">
        <v>0</v>
      </c>
      <c r="K331" s="7">
        <v>800</v>
      </c>
      <c r="L331" s="7">
        <v>161</v>
      </c>
      <c r="M331" s="312">
        <f t="shared" si="45"/>
        <v>0.20125</v>
      </c>
      <c r="N331" s="7">
        <v>0</v>
      </c>
      <c r="O331" s="22">
        <f t="shared" si="53"/>
        <v>161</v>
      </c>
      <c r="P331" s="22">
        <v>0</v>
      </c>
    </row>
    <row r="332" spans="1:16" s="200" customFormat="1" ht="13.5" customHeight="1">
      <c r="A332" s="21"/>
      <c r="B332" s="26" t="s">
        <v>641</v>
      </c>
      <c r="C332" s="7" t="s">
        <v>642</v>
      </c>
      <c r="D332" s="7"/>
      <c r="E332" s="7">
        <v>13110</v>
      </c>
      <c r="F332" s="7">
        <v>0</v>
      </c>
      <c r="G332" s="7">
        <v>0</v>
      </c>
      <c r="H332" s="7">
        <v>14000</v>
      </c>
      <c r="I332" s="7">
        <v>0</v>
      </c>
      <c r="J332" s="7">
        <v>0</v>
      </c>
      <c r="K332" s="7">
        <v>15408</v>
      </c>
      <c r="L332" s="7">
        <v>2000</v>
      </c>
      <c r="M332" s="312">
        <f t="shared" si="45"/>
        <v>0.12980269989615784</v>
      </c>
      <c r="N332" s="7">
        <v>0</v>
      </c>
      <c r="O332" s="22">
        <f t="shared" si="53"/>
        <v>2000</v>
      </c>
      <c r="P332" s="22">
        <v>0</v>
      </c>
    </row>
    <row r="333" spans="1:16" s="200" customFormat="1" ht="14.25" customHeight="1">
      <c r="A333" s="21"/>
      <c r="B333" s="26" t="s">
        <v>657</v>
      </c>
      <c r="C333" s="7" t="s">
        <v>658</v>
      </c>
      <c r="D333" s="7"/>
      <c r="E333" s="7">
        <v>1000</v>
      </c>
      <c r="F333" s="7">
        <v>0</v>
      </c>
      <c r="G333" s="7">
        <v>60</v>
      </c>
      <c r="H333" s="7">
        <v>1896</v>
      </c>
      <c r="I333" s="7">
        <v>0</v>
      </c>
      <c r="J333" s="7">
        <v>0</v>
      </c>
      <c r="K333" s="7">
        <v>2538</v>
      </c>
      <c r="L333" s="7">
        <v>593</v>
      </c>
      <c r="M333" s="312">
        <f t="shared" si="45"/>
        <v>0.23364854215918046</v>
      </c>
      <c r="N333" s="7">
        <v>0</v>
      </c>
      <c r="O333" s="22">
        <f t="shared" si="53"/>
        <v>593</v>
      </c>
      <c r="P333" s="22">
        <v>0</v>
      </c>
    </row>
    <row r="334" spans="1:16" s="200" customFormat="1" ht="15" customHeight="1">
      <c r="A334" s="21"/>
      <c r="B334" s="26" t="s">
        <v>25</v>
      </c>
      <c r="C334" s="7" t="s">
        <v>26</v>
      </c>
      <c r="D334" s="7"/>
      <c r="E334" s="7">
        <v>500</v>
      </c>
      <c r="F334" s="7">
        <v>0</v>
      </c>
      <c r="G334" s="7">
        <v>70</v>
      </c>
      <c r="H334" s="7">
        <v>427</v>
      </c>
      <c r="I334" s="7">
        <v>0</v>
      </c>
      <c r="J334" s="7">
        <v>0</v>
      </c>
      <c r="K334" s="7">
        <v>426</v>
      </c>
      <c r="L334" s="7">
        <v>426</v>
      </c>
      <c r="M334" s="312">
        <f t="shared" si="45"/>
        <v>1</v>
      </c>
      <c r="N334" s="7">
        <v>0</v>
      </c>
      <c r="O334" s="22">
        <f t="shared" si="53"/>
        <v>426</v>
      </c>
      <c r="P334" s="22">
        <v>0</v>
      </c>
    </row>
    <row r="335" spans="1:16" s="200" customFormat="1" ht="12.75" customHeight="1">
      <c r="A335" s="21"/>
      <c r="B335" s="26" t="s">
        <v>659</v>
      </c>
      <c r="C335" s="7" t="s">
        <v>546</v>
      </c>
      <c r="D335" s="7"/>
      <c r="E335" s="7"/>
      <c r="F335" s="7"/>
      <c r="G335" s="7"/>
      <c r="H335" s="7">
        <v>126026</v>
      </c>
      <c r="I335" s="7">
        <v>0</v>
      </c>
      <c r="J335" s="7">
        <v>0</v>
      </c>
      <c r="K335" s="7">
        <v>110000</v>
      </c>
      <c r="L335" s="7">
        <v>0</v>
      </c>
      <c r="M335" s="312">
        <f t="shared" si="45"/>
        <v>0</v>
      </c>
      <c r="N335" s="7">
        <v>0</v>
      </c>
      <c r="O335" s="22">
        <f t="shared" si="53"/>
        <v>0</v>
      </c>
      <c r="P335" s="22">
        <v>0</v>
      </c>
    </row>
    <row r="336" spans="1:16" s="200" customFormat="1" ht="15.75" customHeight="1">
      <c r="A336" s="215" t="s">
        <v>35</v>
      </c>
      <c r="B336" s="351"/>
      <c r="C336" s="214" t="s">
        <v>111</v>
      </c>
      <c r="D336" s="186">
        <f>D339</f>
        <v>1308000</v>
      </c>
      <c r="E336" s="186">
        <f>E339</f>
        <v>1138000</v>
      </c>
      <c r="F336" s="186">
        <f>F339</f>
        <v>0</v>
      </c>
      <c r="G336" s="186">
        <f>G339</f>
        <v>0</v>
      </c>
      <c r="H336" s="186">
        <f>H339+H340</f>
        <v>744716</v>
      </c>
      <c r="I336" s="186">
        <f>I339+I340</f>
        <v>0</v>
      </c>
      <c r="J336" s="186">
        <f>J339+J340</f>
        <v>0</v>
      </c>
      <c r="K336" s="186">
        <f aca="true" t="shared" si="54" ref="K336:P336">K337+K338+K339+K340</f>
        <v>952360</v>
      </c>
      <c r="L336" s="186">
        <f t="shared" si="54"/>
        <v>245809</v>
      </c>
      <c r="M336" s="185">
        <f t="shared" si="45"/>
        <v>0.2581051283128229</v>
      </c>
      <c r="N336" s="186">
        <f t="shared" si="54"/>
        <v>0</v>
      </c>
      <c r="O336" s="186">
        <f t="shared" si="54"/>
        <v>239310</v>
      </c>
      <c r="P336" s="186">
        <f t="shared" si="54"/>
        <v>6499</v>
      </c>
    </row>
    <row r="337" spans="1:16" s="200" customFormat="1" ht="15.75" customHeight="1">
      <c r="A337" s="24"/>
      <c r="B337" s="26" t="s">
        <v>681</v>
      </c>
      <c r="C337" s="27" t="s">
        <v>329</v>
      </c>
      <c r="D337" s="6"/>
      <c r="E337" s="6"/>
      <c r="F337" s="6"/>
      <c r="G337" s="6"/>
      <c r="H337" s="6"/>
      <c r="I337" s="6"/>
      <c r="J337" s="6"/>
      <c r="K337" s="18">
        <v>10679</v>
      </c>
      <c r="L337" s="18">
        <v>3581</v>
      </c>
      <c r="M337" s="312">
        <f t="shared" si="45"/>
        <v>0.3353310235040734</v>
      </c>
      <c r="N337" s="18">
        <v>0</v>
      </c>
      <c r="O337" s="18">
        <v>0</v>
      </c>
      <c r="P337" s="18">
        <f>L337-N337-O337</f>
        <v>3581</v>
      </c>
    </row>
    <row r="338" spans="1:16" s="200" customFormat="1" ht="15.75" customHeight="1">
      <c r="A338" s="24"/>
      <c r="B338" s="26" t="s">
        <v>83</v>
      </c>
      <c r="C338" s="27" t="s">
        <v>330</v>
      </c>
      <c r="D338" s="6"/>
      <c r="E338" s="6"/>
      <c r="F338" s="6"/>
      <c r="G338" s="6"/>
      <c r="H338" s="6"/>
      <c r="I338" s="6"/>
      <c r="J338" s="6"/>
      <c r="K338" s="18">
        <v>6527</v>
      </c>
      <c r="L338" s="18">
        <v>2918</v>
      </c>
      <c r="M338" s="312">
        <f t="shared" si="45"/>
        <v>0.4470660333997242</v>
      </c>
      <c r="N338" s="18">
        <v>0</v>
      </c>
      <c r="O338" s="18">
        <v>0</v>
      </c>
      <c r="P338" s="18">
        <f>L338-N338-O338</f>
        <v>2918</v>
      </c>
    </row>
    <row r="339" spans="1:16" s="200" customFormat="1" ht="13.5" customHeight="1">
      <c r="A339" s="24"/>
      <c r="B339" s="26" t="s">
        <v>104</v>
      </c>
      <c r="C339" s="27" t="s">
        <v>105</v>
      </c>
      <c r="D339" s="18">
        <v>1308000</v>
      </c>
      <c r="E339" s="18">
        <v>1138000</v>
      </c>
      <c r="F339" s="18">
        <v>0</v>
      </c>
      <c r="G339" s="18">
        <v>0</v>
      </c>
      <c r="H339" s="7">
        <v>728506</v>
      </c>
      <c r="I339" s="7">
        <v>0</v>
      </c>
      <c r="J339" s="7">
        <v>0</v>
      </c>
      <c r="K339" s="7">
        <v>918944</v>
      </c>
      <c r="L339" s="7">
        <v>228774</v>
      </c>
      <c r="M339" s="312">
        <f t="shared" si="45"/>
        <v>0.24895314622000905</v>
      </c>
      <c r="N339" s="18">
        <v>0</v>
      </c>
      <c r="O339" s="19">
        <f>L339</f>
        <v>228774</v>
      </c>
      <c r="P339" s="19">
        <v>0</v>
      </c>
    </row>
    <row r="340" spans="1:16" s="200" customFormat="1" ht="16.5" customHeight="1">
      <c r="A340" s="24"/>
      <c r="B340" s="26" t="s">
        <v>629</v>
      </c>
      <c r="C340" s="27" t="s">
        <v>656</v>
      </c>
      <c r="D340" s="18"/>
      <c r="E340" s="18"/>
      <c r="F340" s="18"/>
      <c r="G340" s="18"/>
      <c r="H340" s="7">
        <v>16210</v>
      </c>
      <c r="I340" s="7">
        <v>0</v>
      </c>
      <c r="J340" s="7">
        <v>0</v>
      </c>
      <c r="K340" s="7">
        <v>16210</v>
      </c>
      <c r="L340" s="7">
        <v>10536</v>
      </c>
      <c r="M340" s="312">
        <f t="shared" si="45"/>
        <v>0.6499691548426897</v>
      </c>
      <c r="N340" s="18">
        <v>0</v>
      </c>
      <c r="O340" s="19">
        <f>L340</f>
        <v>10536</v>
      </c>
      <c r="P340" s="19">
        <v>0</v>
      </c>
    </row>
    <row r="341" spans="1:16" s="200" customFormat="1" ht="24.75" customHeight="1">
      <c r="A341" s="215" t="s">
        <v>31</v>
      </c>
      <c r="B341" s="351"/>
      <c r="C341" s="214" t="s">
        <v>113</v>
      </c>
      <c r="D341" s="186" t="e">
        <f>D342+D343+D344+#REF!</f>
        <v>#REF!</v>
      </c>
      <c r="E341" s="186" t="e">
        <f>E342+E343+E344+E345+#REF!+E347+E348+E349+E351+E353</f>
        <v>#REF!</v>
      </c>
      <c r="F341" s="186" t="e">
        <f>F342+F343+F344+F345+#REF!+F347+F348+F349+F351+F353</f>
        <v>#REF!</v>
      </c>
      <c r="G341" s="186" t="e">
        <f>G342+G343+G344+G345+#REF!+G347+G348+G349+G351+G353</f>
        <v>#REF!</v>
      </c>
      <c r="H341" s="186">
        <f>H342+H343+H344+H345+H347+H348+H349+H351+H353</f>
        <v>132083</v>
      </c>
      <c r="I341" s="186">
        <f>I342+I343+I344+I345+I347+I348+I349+I351+I353</f>
        <v>0</v>
      </c>
      <c r="J341" s="186">
        <f>J342+J343+J344+J345+J347+J348+J349+J351+J353</f>
        <v>0</v>
      </c>
      <c r="K341" s="186">
        <f aca="true" t="shared" si="55" ref="K341:P341">K342+K343+K344+K345+K346+K347+K348+K349+K350+K351+K352+K353</f>
        <v>218864</v>
      </c>
      <c r="L341" s="186">
        <f t="shared" si="55"/>
        <v>84508</v>
      </c>
      <c r="M341" s="185">
        <f t="shared" si="45"/>
        <v>0.3861210614811024</v>
      </c>
      <c r="N341" s="186">
        <f t="shared" si="55"/>
        <v>0</v>
      </c>
      <c r="O341" s="182">
        <f t="shared" si="55"/>
        <v>84508</v>
      </c>
      <c r="P341" s="182">
        <f t="shared" si="55"/>
        <v>0</v>
      </c>
    </row>
    <row r="342" spans="1:16" s="200" customFormat="1" ht="17.25" customHeight="1">
      <c r="A342" s="483"/>
      <c r="B342" s="26" t="s">
        <v>619</v>
      </c>
      <c r="C342" s="10" t="s">
        <v>620</v>
      </c>
      <c r="D342" s="7">
        <v>85744</v>
      </c>
      <c r="E342" s="7">
        <v>121480</v>
      </c>
      <c r="F342" s="7">
        <v>0</v>
      </c>
      <c r="G342" s="7">
        <v>2671</v>
      </c>
      <c r="H342" s="7">
        <v>72999</v>
      </c>
      <c r="I342" s="7">
        <v>0</v>
      </c>
      <c r="J342" s="7">
        <v>0</v>
      </c>
      <c r="K342" s="7">
        <v>130920</v>
      </c>
      <c r="L342" s="7">
        <v>39195</v>
      </c>
      <c r="M342" s="312">
        <f t="shared" si="45"/>
        <v>0.29938130155820347</v>
      </c>
      <c r="N342" s="7">
        <v>0</v>
      </c>
      <c r="O342" s="22">
        <f>L342</f>
        <v>39195</v>
      </c>
      <c r="P342" s="22">
        <v>0</v>
      </c>
    </row>
    <row r="343" spans="1:16" s="200" customFormat="1" ht="15" customHeight="1">
      <c r="A343" s="483"/>
      <c r="B343" s="16" t="s">
        <v>623</v>
      </c>
      <c r="C343" s="10" t="s">
        <v>624</v>
      </c>
      <c r="D343" s="7">
        <v>4800</v>
      </c>
      <c r="E343" s="7">
        <v>6578</v>
      </c>
      <c r="F343" s="7">
        <v>0</v>
      </c>
      <c r="G343" s="7">
        <v>0</v>
      </c>
      <c r="H343" s="18">
        <v>5710</v>
      </c>
      <c r="I343" s="7">
        <v>0</v>
      </c>
      <c r="J343" s="7">
        <v>0</v>
      </c>
      <c r="K343" s="7">
        <v>13952</v>
      </c>
      <c r="L343" s="7">
        <v>13837</v>
      </c>
      <c r="M343" s="312">
        <f aca="true" t="shared" si="56" ref="M343:M401">L343/K343</f>
        <v>0.9917574541284404</v>
      </c>
      <c r="N343" s="7">
        <v>0</v>
      </c>
      <c r="O343" s="22">
        <f aca="true" t="shared" si="57" ref="O343:O353">L343</f>
        <v>13837</v>
      </c>
      <c r="P343" s="22">
        <v>0</v>
      </c>
    </row>
    <row r="344" spans="1:16" s="200" customFormat="1" ht="14.25" customHeight="1">
      <c r="A344" s="483"/>
      <c r="B344" s="23" t="s">
        <v>675</v>
      </c>
      <c r="C344" s="10" t="s">
        <v>653</v>
      </c>
      <c r="D344" s="7">
        <v>18394</v>
      </c>
      <c r="E344" s="7">
        <v>22179</v>
      </c>
      <c r="F344" s="7">
        <v>0</v>
      </c>
      <c r="G344" s="7">
        <v>0</v>
      </c>
      <c r="H344" s="18">
        <v>14515</v>
      </c>
      <c r="I344" s="7">
        <v>0</v>
      </c>
      <c r="J344" s="7">
        <v>0</v>
      </c>
      <c r="K344" s="7">
        <v>26352</v>
      </c>
      <c r="L344" s="7">
        <v>9239</v>
      </c>
      <c r="M344" s="312">
        <f t="shared" si="56"/>
        <v>0.35059957498482086</v>
      </c>
      <c r="N344" s="7">
        <v>0</v>
      </c>
      <c r="O344" s="22">
        <f t="shared" si="57"/>
        <v>9239</v>
      </c>
      <c r="P344" s="22">
        <v>0</v>
      </c>
    </row>
    <row r="345" spans="1:16" s="200" customFormat="1" ht="15.75" customHeight="1">
      <c r="A345" s="483"/>
      <c r="B345" s="23" t="s">
        <v>627</v>
      </c>
      <c r="C345" s="10" t="s">
        <v>628</v>
      </c>
      <c r="D345" s="7"/>
      <c r="E345" s="7">
        <v>3039</v>
      </c>
      <c r="F345" s="7">
        <v>0</v>
      </c>
      <c r="G345" s="7">
        <v>0</v>
      </c>
      <c r="H345" s="18">
        <v>1927</v>
      </c>
      <c r="I345" s="7">
        <v>0</v>
      </c>
      <c r="J345" s="7">
        <v>0</v>
      </c>
      <c r="K345" s="7">
        <v>3549</v>
      </c>
      <c r="L345" s="7">
        <v>1825</v>
      </c>
      <c r="M345" s="312">
        <f t="shared" si="56"/>
        <v>0.5142293603832065</v>
      </c>
      <c r="N345" s="7">
        <v>0</v>
      </c>
      <c r="O345" s="22">
        <f t="shared" si="57"/>
        <v>1825</v>
      </c>
      <c r="P345" s="22">
        <v>0</v>
      </c>
    </row>
    <row r="346" spans="1:16" s="200" customFormat="1" ht="22.5" customHeight="1">
      <c r="A346" s="21"/>
      <c r="B346" s="26" t="s">
        <v>470</v>
      </c>
      <c r="C346" s="7" t="s">
        <v>483</v>
      </c>
      <c r="D346" s="7"/>
      <c r="E346" s="7"/>
      <c r="F346" s="7"/>
      <c r="G346" s="7"/>
      <c r="H346" s="18"/>
      <c r="I346" s="7"/>
      <c r="J346" s="7"/>
      <c r="K346" s="7">
        <v>1000</v>
      </c>
      <c r="L346" s="7">
        <v>0</v>
      </c>
      <c r="M346" s="312">
        <f t="shared" si="56"/>
        <v>0</v>
      </c>
      <c r="N346" s="7">
        <v>0</v>
      </c>
      <c r="O346" s="22">
        <f t="shared" si="57"/>
        <v>0</v>
      </c>
      <c r="P346" s="22">
        <v>0</v>
      </c>
    </row>
    <row r="347" spans="1:16" s="200" customFormat="1" ht="14.25" customHeight="1">
      <c r="A347" s="21"/>
      <c r="B347" s="26" t="s">
        <v>629</v>
      </c>
      <c r="C347" s="7" t="s">
        <v>65</v>
      </c>
      <c r="D347" s="7"/>
      <c r="E347" s="7">
        <v>5070</v>
      </c>
      <c r="F347" s="7">
        <v>500</v>
      </c>
      <c r="G347" s="7">
        <v>0</v>
      </c>
      <c r="H347" s="18">
        <v>7461</v>
      </c>
      <c r="I347" s="7">
        <v>0</v>
      </c>
      <c r="J347" s="7">
        <v>0</v>
      </c>
      <c r="K347" s="7">
        <v>15210</v>
      </c>
      <c r="L347" s="7">
        <v>7252</v>
      </c>
      <c r="M347" s="312">
        <f t="shared" si="56"/>
        <v>0.4767915844838922</v>
      </c>
      <c r="N347" s="7">
        <v>0</v>
      </c>
      <c r="O347" s="22">
        <f t="shared" si="57"/>
        <v>7252</v>
      </c>
      <c r="P347" s="22">
        <v>0</v>
      </c>
    </row>
    <row r="348" spans="1:16" s="200" customFormat="1" ht="14.25" customHeight="1">
      <c r="A348" s="21"/>
      <c r="B348" s="26" t="s">
        <v>631</v>
      </c>
      <c r="C348" s="7" t="s">
        <v>20</v>
      </c>
      <c r="D348" s="7"/>
      <c r="E348" s="7">
        <v>3015</v>
      </c>
      <c r="F348" s="7">
        <v>500</v>
      </c>
      <c r="G348" s="7">
        <v>0</v>
      </c>
      <c r="H348" s="18">
        <v>6000</v>
      </c>
      <c r="I348" s="7">
        <v>0</v>
      </c>
      <c r="J348" s="7">
        <v>0</v>
      </c>
      <c r="K348" s="7">
        <v>11260</v>
      </c>
      <c r="L348" s="7">
        <v>4587</v>
      </c>
      <c r="M348" s="312">
        <f t="shared" si="56"/>
        <v>0.40737122557726463</v>
      </c>
      <c r="N348" s="7">
        <v>0</v>
      </c>
      <c r="O348" s="22">
        <f t="shared" si="57"/>
        <v>4587</v>
      </c>
      <c r="P348" s="22">
        <v>0</v>
      </c>
    </row>
    <row r="349" spans="1:16" s="200" customFormat="1" ht="13.5" customHeight="1">
      <c r="A349" s="21"/>
      <c r="B349" s="26" t="s">
        <v>635</v>
      </c>
      <c r="C349" s="7" t="s">
        <v>22</v>
      </c>
      <c r="D349" s="7"/>
      <c r="E349" s="7">
        <v>19008</v>
      </c>
      <c r="F349" s="7">
        <v>2043</v>
      </c>
      <c r="G349" s="7">
        <v>0</v>
      </c>
      <c r="H349" s="7">
        <v>19291</v>
      </c>
      <c r="I349" s="7">
        <v>0</v>
      </c>
      <c r="J349" s="7">
        <v>0</v>
      </c>
      <c r="K349" s="7">
        <v>8772</v>
      </c>
      <c r="L349" s="7">
        <v>3245</v>
      </c>
      <c r="M349" s="312">
        <f t="shared" si="56"/>
        <v>0.3699270405836753</v>
      </c>
      <c r="N349" s="7">
        <v>0</v>
      </c>
      <c r="O349" s="22">
        <f t="shared" si="57"/>
        <v>3245</v>
      </c>
      <c r="P349" s="22">
        <v>0</v>
      </c>
    </row>
    <row r="350" spans="1:16" s="200" customFormat="1" ht="14.25" customHeight="1">
      <c r="A350" s="21"/>
      <c r="B350" s="26" t="s">
        <v>484</v>
      </c>
      <c r="C350" s="7" t="s">
        <v>485</v>
      </c>
      <c r="D350" s="7"/>
      <c r="E350" s="7"/>
      <c r="F350" s="7"/>
      <c r="G350" s="7"/>
      <c r="H350" s="7"/>
      <c r="I350" s="7"/>
      <c r="J350" s="7"/>
      <c r="K350" s="7">
        <v>1449</v>
      </c>
      <c r="L350" s="7">
        <v>216</v>
      </c>
      <c r="M350" s="312">
        <f t="shared" si="56"/>
        <v>0.14906832298136646</v>
      </c>
      <c r="N350" s="7">
        <v>0</v>
      </c>
      <c r="O350" s="22">
        <f t="shared" si="57"/>
        <v>216</v>
      </c>
      <c r="P350" s="22">
        <v>0</v>
      </c>
    </row>
    <row r="351" spans="1:16" s="200" customFormat="1" ht="13.5" customHeight="1">
      <c r="A351" s="21"/>
      <c r="B351" s="26" t="s">
        <v>637</v>
      </c>
      <c r="C351" s="7" t="s">
        <v>638</v>
      </c>
      <c r="D351" s="7"/>
      <c r="E351" s="7">
        <v>2618</v>
      </c>
      <c r="F351" s="7">
        <v>0</v>
      </c>
      <c r="G351" s="7">
        <v>0</v>
      </c>
      <c r="H351" s="7">
        <v>1000</v>
      </c>
      <c r="I351" s="7">
        <v>0</v>
      </c>
      <c r="J351" s="7">
        <v>0</v>
      </c>
      <c r="K351" s="7">
        <v>1200</v>
      </c>
      <c r="L351" s="7">
        <v>315</v>
      </c>
      <c r="M351" s="312">
        <f t="shared" si="56"/>
        <v>0.2625</v>
      </c>
      <c r="N351" s="7">
        <v>0</v>
      </c>
      <c r="O351" s="22">
        <f t="shared" si="57"/>
        <v>315</v>
      </c>
      <c r="P351" s="22">
        <v>0</v>
      </c>
    </row>
    <row r="352" spans="1:16" s="200" customFormat="1" ht="15" customHeight="1">
      <c r="A352" s="21"/>
      <c r="B352" s="26" t="s">
        <v>492</v>
      </c>
      <c r="C352" s="7" t="s">
        <v>313</v>
      </c>
      <c r="D352" s="7"/>
      <c r="E352" s="7"/>
      <c r="F352" s="7"/>
      <c r="G352" s="7"/>
      <c r="H352" s="7"/>
      <c r="I352" s="7"/>
      <c r="J352" s="7"/>
      <c r="K352" s="7">
        <v>120</v>
      </c>
      <c r="L352" s="7">
        <v>0</v>
      </c>
      <c r="M352" s="312">
        <f t="shared" si="56"/>
        <v>0</v>
      </c>
      <c r="N352" s="7">
        <v>0</v>
      </c>
      <c r="O352" s="22">
        <f t="shared" si="57"/>
        <v>0</v>
      </c>
      <c r="P352" s="22">
        <v>0</v>
      </c>
    </row>
    <row r="353" spans="1:16" s="200" customFormat="1" ht="14.25" customHeight="1">
      <c r="A353" s="21"/>
      <c r="B353" s="26" t="s">
        <v>641</v>
      </c>
      <c r="C353" s="7" t="s">
        <v>642</v>
      </c>
      <c r="D353" s="7"/>
      <c r="E353" s="7">
        <v>1673</v>
      </c>
      <c r="F353" s="7">
        <v>2671</v>
      </c>
      <c r="G353" s="7">
        <v>0</v>
      </c>
      <c r="H353" s="7">
        <v>3180</v>
      </c>
      <c r="I353" s="7">
        <v>0</v>
      </c>
      <c r="J353" s="7">
        <v>0</v>
      </c>
      <c r="K353" s="7">
        <v>5080</v>
      </c>
      <c r="L353" s="7">
        <v>4797</v>
      </c>
      <c r="M353" s="312">
        <f t="shared" si="56"/>
        <v>0.9442913385826772</v>
      </c>
      <c r="N353" s="7">
        <v>0</v>
      </c>
      <c r="O353" s="22">
        <f t="shared" si="57"/>
        <v>4797</v>
      </c>
      <c r="P353" s="22">
        <v>0</v>
      </c>
    </row>
    <row r="354" spans="1:16" s="199" customFormat="1" ht="33" customHeight="1">
      <c r="A354" s="215" t="s">
        <v>178</v>
      </c>
      <c r="B354" s="213"/>
      <c r="C354" s="227" t="s">
        <v>179</v>
      </c>
      <c r="D354" s="186"/>
      <c r="E354" s="186"/>
      <c r="F354" s="186"/>
      <c r="G354" s="186"/>
      <c r="H354" s="186"/>
      <c r="I354" s="186"/>
      <c r="J354" s="186"/>
      <c r="K354" s="186">
        <f aca="true" t="shared" si="58" ref="K354:P354">SUM(K355:K364)</f>
        <v>46168</v>
      </c>
      <c r="L354" s="186">
        <f t="shared" si="58"/>
        <v>7269</v>
      </c>
      <c r="M354" s="185">
        <f t="shared" si="56"/>
        <v>0.1574467163403223</v>
      </c>
      <c r="N354" s="186">
        <f t="shared" si="58"/>
        <v>0</v>
      </c>
      <c r="O354" s="186">
        <f t="shared" si="58"/>
        <v>7269</v>
      </c>
      <c r="P354" s="186">
        <f t="shared" si="58"/>
        <v>0</v>
      </c>
    </row>
    <row r="355" spans="1:16" s="199" customFormat="1" ht="17.25" customHeight="1">
      <c r="A355" s="24"/>
      <c r="B355" s="28" t="s">
        <v>619</v>
      </c>
      <c r="C355" s="10" t="s">
        <v>620</v>
      </c>
      <c r="D355" s="18"/>
      <c r="E355" s="18"/>
      <c r="F355" s="18"/>
      <c r="G355" s="18"/>
      <c r="H355" s="18"/>
      <c r="I355" s="18"/>
      <c r="J355" s="18"/>
      <c r="K355" s="18">
        <v>24101</v>
      </c>
      <c r="L355" s="18">
        <v>6025</v>
      </c>
      <c r="M355" s="312">
        <f t="shared" si="56"/>
        <v>0.2499896269864321</v>
      </c>
      <c r="N355" s="18">
        <v>0</v>
      </c>
      <c r="O355" s="18">
        <f>L355</f>
        <v>6025</v>
      </c>
      <c r="P355" s="18">
        <v>0</v>
      </c>
    </row>
    <row r="356" spans="1:16" s="199" customFormat="1" ht="16.5" customHeight="1">
      <c r="A356" s="24"/>
      <c r="B356" s="28" t="s">
        <v>652</v>
      </c>
      <c r="C356" s="10" t="s">
        <v>653</v>
      </c>
      <c r="D356" s="18"/>
      <c r="E356" s="18"/>
      <c r="F356" s="18"/>
      <c r="G356" s="18"/>
      <c r="H356" s="18"/>
      <c r="I356" s="18"/>
      <c r="J356" s="18"/>
      <c r="K356" s="18">
        <v>4384</v>
      </c>
      <c r="L356" s="18">
        <v>1096</v>
      </c>
      <c r="M356" s="312">
        <f t="shared" si="56"/>
        <v>0.25</v>
      </c>
      <c r="N356" s="18">
        <v>0</v>
      </c>
      <c r="O356" s="18">
        <f aca="true" t="shared" si="59" ref="O356:O364">L356</f>
        <v>1096</v>
      </c>
      <c r="P356" s="18">
        <v>0</v>
      </c>
    </row>
    <row r="357" spans="1:16" s="199" customFormat="1" ht="16.5" customHeight="1">
      <c r="A357" s="24"/>
      <c r="B357" s="28" t="s">
        <v>627</v>
      </c>
      <c r="C357" s="10" t="s">
        <v>628</v>
      </c>
      <c r="D357" s="18"/>
      <c r="E357" s="18"/>
      <c r="F357" s="18"/>
      <c r="G357" s="18"/>
      <c r="H357" s="18"/>
      <c r="I357" s="18"/>
      <c r="J357" s="18"/>
      <c r="K357" s="18">
        <v>590</v>
      </c>
      <c r="L357" s="18">
        <v>148</v>
      </c>
      <c r="M357" s="312">
        <f t="shared" si="56"/>
        <v>0.25084745762711863</v>
      </c>
      <c r="N357" s="18">
        <v>0</v>
      </c>
      <c r="O357" s="18">
        <f t="shared" si="59"/>
        <v>148</v>
      </c>
      <c r="P357" s="18">
        <v>0</v>
      </c>
    </row>
    <row r="358" spans="1:16" s="200" customFormat="1" ht="17.25" customHeight="1">
      <c r="A358" s="21"/>
      <c r="B358" s="26" t="s">
        <v>629</v>
      </c>
      <c r="C358" s="7" t="s">
        <v>630</v>
      </c>
      <c r="D358" s="7"/>
      <c r="E358" s="7"/>
      <c r="F358" s="7"/>
      <c r="G358" s="7"/>
      <c r="H358" s="7"/>
      <c r="I358" s="7"/>
      <c r="J358" s="7"/>
      <c r="K358" s="18">
        <v>5500</v>
      </c>
      <c r="L358" s="18">
        <v>0</v>
      </c>
      <c r="M358" s="312">
        <f t="shared" si="56"/>
        <v>0</v>
      </c>
      <c r="N358" s="18">
        <v>0</v>
      </c>
      <c r="O358" s="18">
        <f t="shared" si="59"/>
        <v>0</v>
      </c>
      <c r="P358" s="18">
        <v>0</v>
      </c>
    </row>
    <row r="359" spans="1:16" s="200" customFormat="1" ht="18.75" customHeight="1">
      <c r="A359" s="21"/>
      <c r="B359" s="26" t="s">
        <v>109</v>
      </c>
      <c r="C359" s="7" t="s">
        <v>509</v>
      </c>
      <c r="D359" s="7"/>
      <c r="E359" s="7"/>
      <c r="F359" s="7"/>
      <c r="G359" s="7"/>
      <c r="H359" s="7"/>
      <c r="I359" s="7"/>
      <c r="J359" s="7"/>
      <c r="K359" s="18">
        <v>300</v>
      </c>
      <c r="L359" s="18">
        <v>0</v>
      </c>
      <c r="M359" s="312">
        <f t="shared" si="56"/>
        <v>0</v>
      </c>
      <c r="N359" s="18">
        <v>0</v>
      </c>
      <c r="O359" s="18">
        <f t="shared" si="59"/>
        <v>0</v>
      </c>
      <c r="P359" s="18">
        <v>0</v>
      </c>
    </row>
    <row r="360" spans="1:16" s="200" customFormat="1" ht="17.25" customHeight="1">
      <c r="A360" s="21"/>
      <c r="B360" s="26" t="s">
        <v>631</v>
      </c>
      <c r="C360" s="7" t="s">
        <v>20</v>
      </c>
      <c r="D360" s="7"/>
      <c r="E360" s="7"/>
      <c r="F360" s="7"/>
      <c r="G360" s="7"/>
      <c r="H360" s="7"/>
      <c r="I360" s="7"/>
      <c r="J360" s="7"/>
      <c r="K360" s="18">
        <v>5820</v>
      </c>
      <c r="L360" s="18">
        <v>0</v>
      </c>
      <c r="M360" s="312">
        <f t="shared" si="56"/>
        <v>0</v>
      </c>
      <c r="N360" s="18">
        <v>0</v>
      </c>
      <c r="O360" s="18">
        <f t="shared" si="59"/>
        <v>0</v>
      </c>
      <c r="P360" s="18">
        <v>0</v>
      </c>
    </row>
    <row r="361" spans="1:16" s="200" customFormat="1" ht="17.25" customHeight="1">
      <c r="A361" s="21"/>
      <c r="B361" s="26" t="s">
        <v>635</v>
      </c>
      <c r="C361" s="7" t="s">
        <v>22</v>
      </c>
      <c r="D361" s="7"/>
      <c r="E361" s="7"/>
      <c r="F361" s="7"/>
      <c r="G361" s="7"/>
      <c r="H361" s="7"/>
      <c r="I361" s="7"/>
      <c r="J361" s="7"/>
      <c r="K361" s="18">
        <v>2280</v>
      </c>
      <c r="L361" s="18">
        <v>0</v>
      </c>
      <c r="M361" s="312">
        <f t="shared" si="56"/>
        <v>0</v>
      </c>
      <c r="N361" s="18">
        <v>0</v>
      </c>
      <c r="O361" s="18">
        <f t="shared" si="59"/>
        <v>0</v>
      </c>
      <c r="P361" s="18">
        <v>0</v>
      </c>
    </row>
    <row r="362" spans="1:16" s="200" customFormat="1" ht="16.5" customHeight="1">
      <c r="A362" s="21"/>
      <c r="B362" s="26" t="s">
        <v>484</v>
      </c>
      <c r="C362" s="7" t="s">
        <v>485</v>
      </c>
      <c r="D362" s="7"/>
      <c r="E362" s="7"/>
      <c r="F362" s="7"/>
      <c r="G362" s="7"/>
      <c r="H362" s="7"/>
      <c r="I362" s="7"/>
      <c r="J362" s="7"/>
      <c r="K362" s="18">
        <v>864</v>
      </c>
      <c r="L362" s="18">
        <v>0</v>
      </c>
      <c r="M362" s="312">
        <f t="shared" si="56"/>
        <v>0</v>
      </c>
      <c r="N362" s="18">
        <v>0</v>
      </c>
      <c r="O362" s="18">
        <f t="shared" si="59"/>
        <v>0</v>
      </c>
      <c r="P362" s="18">
        <v>0</v>
      </c>
    </row>
    <row r="363" spans="1:16" s="200" customFormat="1" ht="18" customHeight="1">
      <c r="A363" s="21"/>
      <c r="B363" s="26" t="s">
        <v>637</v>
      </c>
      <c r="C363" s="7" t="s">
        <v>638</v>
      </c>
      <c r="D363" s="7"/>
      <c r="E363" s="7"/>
      <c r="F363" s="7"/>
      <c r="G363" s="7"/>
      <c r="H363" s="7"/>
      <c r="I363" s="7"/>
      <c r="J363" s="7"/>
      <c r="K363" s="18">
        <v>1200</v>
      </c>
      <c r="L363" s="18">
        <v>0</v>
      </c>
      <c r="M363" s="312">
        <f t="shared" si="56"/>
        <v>0</v>
      </c>
      <c r="N363" s="18">
        <v>0</v>
      </c>
      <c r="O363" s="18">
        <f t="shared" si="59"/>
        <v>0</v>
      </c>
      <c r="P363" s="18">
        <v>0</v>
      </c>
    </row>
    <row r="364" spans="1:16" s="200" customFormat="1" ht="19.5" customHeight="1">
      <c r="A364" s="21"/>
      <c r="B364" s="26" t="s">
        <v>641</v>
      </c>
      <c r="C364" s="7" t="s">
        <v>642</v>
      </c>
      <c r="D364" s="7"/>
      <c r="E364" s="7"/>
      <c r="F364" s="7"/>
      <c r="G364" s="7"/>
      <c r="H364" s="7"/>
      <c r="I364" s="7"/>
      <c r="J364" s="7"/>
      <c r="K364" s="18">
        <v>1129</v>
      </c>
      <c r="L364" s="18">
        <v>0</v>
      </c>
      <c r="M364" s="312">
        <f t="shared" si="56"/>
        <v>0</v>
      </c>
      <c r="N364" s="18">
        <v>0</v>
      </c>
      <c r="O364" s="18">
        <f t="shared" si="59"/>
        <v>0</v>
      </c>
      <c r="P364" s="18">
        <v>0</v>
      </c>
    </row>
    <row r="365" spans="1:16" s="200" customFormat="1" ht="24" customHeight="1">
      <c r="A365" s="215" t="s">
        <v>214</v>
      </c>
      <c r="B365" s="215"/>
      <c r="C365" s="352" t="s">
        <v>215</v>
      </c>
      <c r="D365" s="349"/>
      <c r="E365" s="349"/>
      <c r="F365" s="349"/>
      <c r="G365" s="349"/>
      <c r="H365" s="349"/>
      <c r="I365" s="349"/>
      <c r="J365" s="349"/>
      <c r="K365" s="186">
        <f aca="true" t="shared" si="60" ref="K365:P365">K366</f>
        <v>2200</v>
      </c>
      <c r="L365" s="186">
        <f t="shared" si="60"/>
        <v>0</v>
      </c>
      <c r="M365" s="185">
        <f t="shared" si="56"/>
        <v>0</v>
      </c>
      <c r="N365" s="186">
        <f t="shared" si="60"/>
        <v>0</v>
      </c>
      <c r="O365" s="182">
        <f t="shared" si="60"/>
        <v>0</v>
      </c>
      <c r="P365" s="353">
        <f t="shared" si="60"/>
        <v>0</v>
      </c>
    </row>
    <row r="366" spans="1:16" s="200" customFormat="1" ht="19.5" customHeight="1">
      <c r="A366" s="21"/>
      <c r="B366" s="21" t="s">
        <v>635</v>
      </c>
      <c r="C366" s="27" t="s">
        <v>22</v>
      </c>
      <c r="D366" s="7"/>
      <c r="E366" s="7"/>
      <c r="F366" s="7"/>
      <c r="G366" s="7"/>
      <c r="H366" s="7"/>
      <c r="I366" s="7"/>
      <c r="J366" s="7"/>
      <c r="K366" s="7">
        <v>2200</v>
      </c>
      <c r="L366" s="7">
        <v>0</v>
      </c>
      <c r="M366" s="312">
        <f t="shared" si="56"/>
        <v>0</v>
      </c>
      <c r="N366" s="7">
        <v>0</v>
      </c>
      <c r="O366" s="19">
        <f>L366</f>
        <v>0</v>
      </c>
      <c r="P366" s="22">
        <v>0</v>
      </c>
    </row>
    <row r="367" spans="1:16" s="200" customFormat="1" ht="17.25" customHeight="1">
      <c r="A367" s="215" t="s">
        <v>33</v>
      </c>
      <c r="B367" s="215"/>
      <c r="C367" s="352" t="s">
        <v>692</v>
      </c>
      <c r="D367" s="186"/>
      <c r="E367" s="186" t="e">
        <f>#REF!+#REF!</f>
        <v>#REF!</v>
      </c>
      <c r="F367" s="186" t="e">
        <f>#REF!+#REF!</f>
        <v>#REF!</v>
      </c>
      <c r="G367" s="186" t="e">
        <f>#REF!+#REF!</f>
        <v>#REF!</v>
      </c>
      <c r="H367" s="186" t="e">
        <f>#REF!+H368</f>
        <v>#REF!</v>
      </c>
      <c r="I367" s="186" t="e">
        <f>#REF!+I368</f>
        <v>#REF!</v>
      </c>
      <c r="J367" s="186" t="e">
        <f>#REF!+J368</f>
        <v>#REF!</v>
      </c>
      <c r="K367" s="186">
        <f>K368</f>
        <v>500</v>
      </c>
      <c r="L367" s="186">
        <f>L368</f>
        <v>0</v>
      </c>
      <c r="M367" s="185">
        <f t="shared" si="56"/>
        <v>0</v>
      </c>
      <c r="N367" s="186">
        <f>N368</f>
        <v>0</v>
      </c>
      <c r="O367" s="186">
        <f>O368</f>
        <v>0</v>
      </c>
      <c r="P367" s="186">
        <f>P368</f>
        <v>0</v>
      </c>
    </row>
    <row r="368" spans="1:16" s="200" customFormat="1" ht="18.75" customHeight="1">
      <c r="A368" s="21"/>
      <c r="B368" s="21" t="s">
        <v>635</v>
      </c>
      <c r="C368" s="27" t="s">
        <v>636</v>
      </c>
      <c r="D368" s="7"/>
      <c r="E368" s="7">
        <v>6515</v>
      </c>
      <c r="F368" s="7">
        <v>3292</v>
      </c>
      <c r="G368" s="7">
        <v>0</v>
      </c>
      <c r="H368" s="7">
        <v>2885</v>
      </c>
      <c r="I368" s="7">
        <v>0</v>
      </c>
      <c r="J368" s="7">
        <v>0</v>
      </c>
      <c r="K368" s="7">
        <v>500</v>
      </c>
      <c r="L368" s="7">
        <v>0</v>
      </c>
      <c r="M368" s="312">
        <f t="shared" si="56"/>
        <v>0</v>
      </c>
      <c r="N368" s="7">
        <v>0</v>
      </c>
      <c r="O368" s="18">
        <f>L368</f>
        <v>0</v>
      </c>
      <c r="P368" s="22">
        <v>0</v>
      </c>
    </row>
    <row r="369" spans="1:16" s="200" customFormat="1" ht="24.75" customHeight="1">
      <c r="A369" s="197" t="s">
        <v>101</v>
      </c>
      <c r="B369" s="197"/>
      <c r="C369" s="198" t="s">
        <v>32</v>
      </c>
      <c r="D369" s="191"/>
      <c r="E369" s="191"/>
      <c r="F369" s="191"/>
      <c r="G369" s="191"/>
      <c r="H369" s="191"/>
      <c r="I369" s="191"/>
      <c r="J369" s="191"/>
      <c r="K369" s="191">
        <f aca="true" t="shared" si="61" ref="K369:P369">K370+K377</f>
        <v>890654</v>
      </c>
      <c r="L369" s="191">
        <f t="shared" si="61"/>
        <v>224112</v>
      </c>
      <c r="M369" s="405">
        <f t="shared" si="56"/>
        <v>0.25162633300922693</v>
      </c>
      <c r="N369" s="191">
        <f t="shared" si="61"/>
        <v>0</v>
      </c>
      <c r="O369" s="191">
        <f t="shared" si="61"/>
        <v>224112</v>
      </c>
      <c r="P369" s="191">
        <f t="shared" si="61"/>
        <v>0</v>
      </c>
    </row>
    <row r="370" spans="1:16" s="200" customFormat="1" ht="19.5" customHeight="1">
      <c r="A370" s="215" t="s">
        <v>114</v>
      </c>
      <c r="B370" s="215"/>
      <c r="C370" s="214" t="s">
        <v>403</v>
      </c>
      <c r="D370" s="186"/>
      <c r="E370" s="186"/>
      <c r="F370" s="186"/>
      <c r="G370" s="186"/>
      <c r="H370" s="186"/>
      <c r="I370" s="186"/>
      <c r="J370" s="186"/>
      <c r="K370" s="186">
        <f aca="true" t="shared" si="62" ref="K370:P370">K371+K372+K373+K374+K375+K376</f>
        <v>20491</v>
      </c>
      <c r="L370" s="186">
        <f t="shared" si="62"/>
        <v>6596</v>
      </c>
      <c r="M370" s="185">
        <f t="shared" si="56"/>
        <v>0.3218974183788004</v>
      </c>
      <c r="N370" s="186">
        <f t="shared" si="62"/>
        <v>0</v>
      </c>
      <c r="O370" s="186">
        <f t="shared" si="62"/>
        <v>6596</v>
      </c>
      <c r="P370" s="186">
        <f t="shared" si="62"/>
        <v>0</v>
      </c>
    </row>
    <row r="371" spans="1:16" s="200" customFormat="1" ht="14.25" customHeight="1">
      <c r="A371" s="21"/>
      <c r="B371" s="21" t="s">
        <v>619</v>
      </c>
      <c r="C371" s="27" t="s">
        <v>620</v>
      </c>
      <c r="D371" s="7">
        <v>16515</v>
      </c>
      <c r="E371" s="7">
        <v>15028</v>
      </c>
      <c r="F371" s="7">
        <v>0</v>
      </c>
      <c r="G371" s="7">
        <v>0</v>
      </c>
      <c r="H371" s="7">
        <v>9550</v>
      </c>
      <c r="I371" s="7">
        <v>0</v>
      </c>
      <c r="J371" s="7">
        <v>0</v>
      </c>
      <c r="K371" s="7">
        <v>15000</v>
      </c>
      <c r="L371" s="7">
        <v>3750</v>
      </c>
      <c r="M371" s="312">
        <f t="shared" si="56"/>
        <v>0.25</v>
      </c>
      <c r="N371" s="7">
        <v>0</v>
      </c>
      <c r="O371" s="22">
        <f aca="true" t="shared" si="63" ref="O371:O376">L371</f>
        <v>3750</v>
      </c>
      <c r="P371" s="22">
        <v>0</v>
      </c>
    </row>
    <row r="372" spans="1:16" s="200" customFormat="1" ht="16.5" customHeight="1">
      <c r="A372" s="21"/>
      <c r="B372" s="21" t="s">
        <v>623</v>
      </c>
      <c r="C372" s="27" t="s">
        <v>624</v>
      </c>
      <c r="D372" s="7"/>
      <c r="E372" s="7"/>
      <c r="F372" s="7"/>
      <c r="G372" s="7"/>
      <c r="H372" s="7">
        <v>765</v>
      </c>
      <c r="I372" s="7">
        <v>0</v>
      </c>
      <c r="J372" s="7">
        <v>0</v>
      </c>
      <c r="K372" s="7">
        <v>1275</v>
      </c>
      <c r="L372" s="7">
        <v>1275</v>
      </c>
      <c r="M372" s="312">
        <f t="shared" si="56"/>
        <v>1</v>
      </c>
      <c r="N372" s="7">
        <v>0</v>
      </c>
      <c r="O372" s="22">
        <f t="shared" si="63"/>
        <v>1275</v>
      </c>
      <c r="P372" s="22">
        <v>0</v>
      </c>
    </row>
    <row r="373" spans="1:16" s="200" customFormat="1" ht="18.75" customHeight="1">
      <c r="A373" s="21"/>
      <c r="B373" s="33" t="s">
        <v>652</v>
      </c>
      <c r="C373" s="27" t="s">
        <v>115</v>
      </c>
      <c r="D373" s="7">
        <v>3358</v>
      </c>
      <c r="E373" s="7">
        <v>2709</v>
      </c>
      <c r="F373" s="7">
        <v>0</v>
      </c>
      <c r="G373" s="7">
        <v>0</v>
      </c>
      <c r="H373" s="7">
        <v>1844</v>
      </c>
      <c r="I373" s="7">
        <v>0</v>
      </c>
      <c r="J373" s="7">
        <v>0</v>
      </c>
      <c r="K373" s="7">
        <v>2804</v>
      </c>
      <c r="L373" s="7">
        <v>866</v>
      </c>
      <c r="M373" s="312">
        <f t="shared" si="56"/>
        <v>0.30884450784593437</v>
      </c>
      <c r="N373" s="7">
        <v>0</v>
      </c>
      <c r="O373" s="22">
        <f t="shared" si="63"/>
        <v>866</v>
      </c>
      <c r="P373" s="22">
        <v>0</v>
      </c>
    </row>
    <row r="374" spans="1:16" s="200" customFormat="1" ht="17.25" customHeight="1">
      <c r="A374" s="21"/>
      <c r="B374" s="33" t="s">
        <v>627</v>
      </c>
      <c r="C374" s="27" t="s">
        <v>628</v>
      </c>
      <c r="D374" s="7"/>
      <c r="E374" s="7">
        <v>371</v>
      </c>
      <c r="F374" s="7">
        <v>0</v>
      </c>
      <c r="G374" s="7">
        <v>0</v>
      </c>
      <c r="H374" s="7">
        <v>253</v>
      </c>
      <c r="I374" s="7">
        <v>0</v>
      </c>
      <c r="J374" s="7">
        <v>0</v>
      </c>
      <c r="K374" s="7">
        <v>399</v>
      </c>
      <c r="L374" s="7">
        <v>123</v>
      </c>
      <c r="M374" s="312">
        <f t="shared" si="56"/>
        <v>0.3082706766917293</v>
      </c>
      <c r="N374" s="7">
        <v>0</v>
      </c>
      <c r="O374" s="22">
        <f t="shared" si="63"/>
        <v>123</v>
      </c>
      <c r="P374" s="22">
        <v>0</v>
      </c>
    </row>
    <row r="375" spans="1:16" s="200" customFormat="1" ht="15.75" customHeight="1">
      <c r="A375" s="21"/>
      <c r="B375" s="21" t="s">
        <v>635</v>
      </c>
      <c r="C375" s="27" t="s">
        <v>22</v>
      </c>
      <c r="D375" s="7"/>
      <c r="E375" s="7"/>
      <c r="F375" s="7"/>
      <c r="G375" s="7"/>
      <c r="H375" s="7">
        <v>29725</v>
      </c>
      <c r="I375" s="7">
        <v>0</v>
      </c>
      <c r="J375" s="7">
        <v>0</v>
      </c>
      <c r="K375" s="7">
        <v>561</v>
      </c>
      <c r="L375" s="7">
        <v>240</v>
      </c>
      <c r="M375" s="312">
        <f t="shared" si="56"/>
        <v>0.42780748663101603</v>
      </c>
      <c r="N375" s="7">
        <v>0</v>
      </c>
      <c r="O375" s="22">
        <f t="shared" si="63"/>
        <v>240</v>
      </c>
      <c r="P375" s="22">
        <v>0</v>
      </c>
    </row>
    <row r="376" spans="1:16" s="200" customFormat="1" ht="16.5" customHeight="1">
      <c r="A376" s="21"/>
      <c r="B376" s="21" t="s">
        <v>641</v>
      </c>
      <c r="C376" s="27" t="s">
        <v>642</v>
      </c>
      <c r="D376" s="7"/>
      <c r="E376" s="7"/>
      <c r="F376" s="7"/>
      <c r="G376" s="7"/>
      <c r="H376" s="7"/>
      <c r="I376" s="7"/>
      <c r="J376" s="7"/>
      <c r="K376" s="7">
        <v>452</v>
      </c>
      <c r="L376" s="7">
        <v>342</v>
      </c>
      <c r="M376" s="312">
        <f t="shared" si="56"/>
        <v>0.7566371681415929</v>
      </c>
      <c r="N376" s="7">
        <v>0</v>
      </c>
      <c r="O376" s="22">
        <f t="shared" si="63"/>
        <v>342</v>
      </c>
      <c r="P376" s="22">
        <v>0</v>
      </c>
    </row>
    <row r="377" spans="1:16" s="200" customFormat="1" ht="15.75" customHeight="1">
      <c r="A377" s="215" t="s">
        <v>119</v>
      </c>
      <c r="B377" s="354"/>
      <c r="C377" s="214" t="s">
        <v>120</v>
      </c>
      <c r="D377" s="186" t="e">
        <f>D379+D380+D381+#REF!</f>
        <v>#REF!</v>
      </c>
      <c r="E377" s="186" t="e">
        <f>E379+E380+E381+E382+#REF!+#REF!+E384+E385+#REF!+E386+E388+#REF!+#REF!</f>
        <v>#REF!</v>
      </c>
      <c r="F377" s="186" t="e">
        <f>F379+F380+F381+F382+#REF!+#REF!+F384+F385+#REF!+F386+F388+#REF!+#REF!</f>
        <v>#REF!</v>
      </c>
      <c r="G377" s="186" t="e">
        <f>G379+G380+G381+G382+#REF!+#REF!+G384+G385+#REF!+G386+G388+#REF!+#REF!</f>
        <v>#REF!</v>
      </c>
      <c r="H377" s="186" t="e">
        <f>H379+H380+H381+H382+H384+H385+H386+H388+#REF!+H389+#REF!</f>
        <v>#REF!</v>
      </c>
      <c r="I377" s="186" t="e">
        <f>I379+I380+I381+I382+I384+I385+I386+I388+#REF!+I389+#REF!</f>
        <v>#REF!</v>
      </c>
      <c r="J377" s="186" t="e">
        <f>J379+J380+J381+J382+J384+J385+J386+J388+#REF!+J389+#REF!</f>
        <v>#REF!</v>
      </c>
      <c r="K377" s="186">
        <f aca="true" t="shared" si="64" ref="K377:P377">SUM(K378:K390)</f>
        <v>870163</v>
      </c>
      <c r="L377" s="186">
        <f t="shared" si="64"/>
        <v>217516</v>
      </c>
      <c r="M377" s="185">
        <f t="shared" si="56"/>
        <v>0.24997155705310384</v>
      </c>
      <c r="N377" s="186">
        <f t="shared" si="64"/>
        <v>0</v>
      </c>
      <c r="O377" s="186">
        <f t="shared" si="64"/>
        <v>217516</v>
      </c>
      <c r="P377" s="186">
        <f t="shared" si="64"/>
        <v>0</v>
      </c>
    </row>
    <row r="378" spans="1:16" s="200" customFormat="1" ht="15.75" customHeight="1">
      <c r="A378" s="24"/>
      <c r="B378" s="21" t="s">
        <v>607</v>
      </c>
      <c r="C378" s="27" t="s">
        <v>180</v>
      </c>
      <c r="D378" s="6"/>
      <c r="E378" s="6"/>
      <c r="F378" s="6"/>
      <c r="G378" s="6"/>
      <c r="H378" s="6"/>
      <c r="I378" s="6"/>
      <c r="J378" s="6"/>
      <c r="K378" s="18">
        <v>250</v>
      </c>
      <c r="L378" s="18">
        <v>50</v>
      </c>
      <c r="M378" s="312">
        <f t="shared" si="56"/>
        <v>0.2</v>
      </c>
      <c r="N378" s="6"/>
      <c r="O378" s="18">
        <f>L378</f>
        <v>50</v>
      </c>
      <c r="P378" s="6"/>
    </row>
    <row r="379" spans="1:16" s="200" customFormat="1" ht="12.75" customHeight="1">
      <c r="A379" s="21"/>
      <c r="B379" s="21" t="s">
        <v>619</v>
      </c>
      <c r="C379" s="27" t="s">
        <v>620</v>
      </c>
      <c r="D379" s="7">
        <v>606420</v>
      </c>
      <c r="E379" s="7">
        <v>652585</v>
      </c>
      <c r="F379" s="7">
        <v>0</v>
      </c>
      <c r="G379" s="7">
        <v>0</v>
      </c>
      <c r="H379" s="7">
        <v>370235</v>
      </c>
      <c r="I379" s="7">
        <v>0</v>
      </c>
      <c r="J379" s="7">
        <v>0</v>
      </c>
      <c r="K379" s="7">
        <v>567083</v>
      </c>
      <c r="L379" s="7">
        <v>119614</v>
      </c>
      <c r="M379" s="312">
        <f t="shared" si="56"/>
        <v>0.2109285589587415</v>
      </c>
      <c r="N379" s="7">
        <v>0</v>
      </c>
      <c r="O379" s="18">
        <f aca="true" t="shared" si="65" ref="O379:O390">L379</f>
        <v>119614</v>
      </c>
      <c r="P379" s="22">
        <v>0</v>
      </c>
    </row>
    <row r="380" spans="1:16" s="200" customFormat="1" ht="12.75" customHeight="1">
      <c r="A380" s="21"/>
      <c r="B380" s="21" t="s">
        <v>623</v>
      </c>
      <c r="C380" s="27" t="s">
        <v>624</v>
      </c>
      <c r="D380" s="7">
        <v>48267</v>
      </c>
      <c r="E380" s="7">
        <v>48566</v>
      </c>
      <c r="F380" s="7">
        <v>0</v>
      </c>
      <c r="G380" s="7">
        <v>0</v>
      </c>
      <c r="H380" s="18">
        <v>28767</v>
      </c>
      <c r="I380" s="18">
        <v>0</v>
      </c>
      <c r="J380" s="18">
        <v>0</v>
      </c>
      <c r="K380" s="7">
        <v>42907</v>
      </c>
      <c r="L380" s="7">
        <v>42907</v>
      </c>
      <c r="M380" s="312">
        <f t="shared" si="56"/>
        <v>1</v>
      </c>
      <c r="N380" s="7">
        <v>0</v>
      </c>
      <c r="O380" s="18">
        <f t="shared" si="65"/>
        <v>42907</v>
      </c>
      <c r="P380" s="22">
        <v>0</v>
      </c>
    </row>
    <row r="381" spans="1:16" s="200" customFormat="1" ht="13.5" customHeight="1">
      <c r="A381" s="21"/>
      <c r="B381" s="33" t="s">
        <v>675</v>
      </c>
      <c r="C381" s="27" t="s">
        <v>690</v>
      </c>
      <c r="D381" s="7">
        <v>131863</v>
      </c>
      <c r="E381" s="7">
        <v>124716</v>
      </c>
      <c r="F381" s="7">
        <v>0</v>
      </c>
      <c r="G381" s="7">
        <v>0</v>
      </c>
      <c r="H381" s="7">
        <v>68092</v>
      </c>
      <c r="I381" s="7">
        <v>0</v>
      </c>
      <c r="J381" s="7">
        <v>0</v>
      </c>
      <c r="K381" s="7">
        <v>105116</v>
      </c>
      <c r="L381" s="7">
        <v>28428</v>
      </c>
      <c r="M381" s="312">
        <f t="shared" si="56"/>
        <v>0.2704440808249933</v>
      </c>
      <c r="N381" s="7">
        <v>0</v>
      </c>
      <c r="O381" s="18">
        <f t="shared" si="65"/>
        <v>28428</v>
      </c>
      <c r="P381" s="22">
        <v>0</v>
      </c>
    </row>
    <row r="382" spans="1:16" s="200" customFormat="1" ht="12" customHeight="1">
      <c r="A382" s="21"/>
      <c r="B382" s="33" t="s">
        <v>627</v>
      </c>
      <c r="C382" s="27" t="s">
        <v>628</v>
      </c>
      <c r="D382" s="7"/>
      <c r="E382" s="7">
        <v>16239</v>
      </c>
      <c r="F382" s="7">
        <v>0</v>
      </c>
      <c r="G382" s="7">
        <v>0</v>
      </c>
      <c r="H382" s="7">
        <v>11100</v>
      </c>
      <c r="I382" s="7">
        <v>0</v>
      </c>
      <c r="J382" s="7">
        <v>0</v>
      </c>
      <c r="K382" s="7">
        <v>12256</v>
      </c>
      <c r="L382" s="7">
        <v>4310</v>
      </c>
      <c r="M382" s="312">
        <f t="shared" si="56"/>
        <v>0.3516644908616188</v>
      </c>
      <c r="N382" s="7">
        <v>0</v>
      </c>
      <c r="O382" s="18">
        <f t="shared" si="65"/>
        <v>4310</v>
      </c>
      <c r="P382" s="22">
        <v>0</v>
      </c>
    </row>
    <row r="383" spans="1:16" s="200" customFormat="1" ht="14.25" customHeight="1">
      <c r="A383" s="21"/>
      <c r="B383" s="21" t="s">
        <v>470</v>
      </c>
      <c r="C383" s="27" t="s">
        <v>483</v>
      </c>
      <c r="D383" s="7"/>
      <c r="E383" s="7"/>
      <c r="F383" s="7"/>
      <c r="G383" s="7"/>
      <c r="H383" s="6"/>
      <c r="I383" s="6"/>
      <c r="J383" s="6"/>
      <c r="K383" s="7">
        <v>6400</v>
      </c>
      <c r="L383" s="7">
        <v>1600</v>
      </c>
      <c r="M383" s="312">
        <f t="shared" si="56"/>
        <v>0.25</v>
      </c>
      <c r="N383" s="7">
        <v>0</v>
      </c>
      <c r="O383" s="18">
        <f t="shared" si="65"/>
        <v>1600</v>
      </c>
      <c r="P383" s="22">
        <v>0</v>
      </c>
    </row>
    <row r="384" spans="1:16" s="200" customFormat="1" ht="14.25" customHeight="1">
      <c r="A384" s="21"/>
      <c r="B384" s="21" t="s">
        <v>629</v>
      </c>
      <c r="C384" s="27" t="s">
        <v>65</v>
      </c>
      <c r="D384" s="7"/>
      <c r="E384" s="7">
        <v>20202</v>
      </c>
      <c r="F384" s="7">
        <v>0</v>
      </c>
      <c r="G384" s="7">
        <v>0</v>
      </c>
      <c r="H384" s="7">
        <v>25567</v>
      </c>
      <c r="I384" s="7">
        <v>0</v>
      </c>
      <c r="J384" s="7">
        <v>0</v>
      </c>
      <c r="K384" s="7">
        <v>17000</v>
      </c>
      <c r="L384" s="7">
        <v>4169</v>
      </c>
      <c r="M384" s="312">
        <f t="shared" si="56"/>
        <v>0.24523529411764705</v>
      </c>
      <c r="N384" s="7">
        <v>0</v>
      </c>
      <c r="O384" s="18">
        <f t="shared" si="65"/>
        <v>4169</v>
      </c>
      <c r="P384" s="22">
        <v>0</v>
      </c>
    </row>
    <row r="385" spans="1:16" s="200" customFormat="1" ht="13.5" customHeight="1">
      <c r="A385" s="21"/>
      <c r="B385" s="21" t="s">
        <v>631</v>
      </c>
      <c r="C385" s="27" t="s">
        <v>20</v>
      </c>
      <c r="D385" s="7"/>
      <c r="E385" s="7">
        <v>31800</v>
      </c>
      <c r="F385" s="7">
        <v>0</v>
      </c>
      <c r="G385" s="7">
        <v>0</v>
      </c>
      <c r="H385" s="7">
        <v>34876</v>
      </c>
      <c r="I385" s="7">
        <v>0</v>
      </c>
      <c r="J385" s="7">
        <v>0</v>
      </c>
      <c r="K385" s="7">
        <v>29516</v>
      </c>
      <c r="L385" s="7">
        <v>9768</v>
      </c>
      <c r="M385" s="312">
        <f t="shared" si="56"/>
        <v>0.33093915164656457</v>
      </c>
      <c r="N385" s="7">
        <v>0</v>
      </c>
      <c r="O385" s="18">
        <f t="shared" si="65"/>
        <v>9768</v>
      </c>
      <c r="P385" s="22">
        <v>0</v>
      </c>
    </row>
    <row r="386" spans="1:16" s="200" customFormat="1" ht="15" customHeight="1">
      <c r="A386" s="21"/>
      <c r="B386" s="21" t="s">
        <v>635</v>
      </c>
      <c r="C386" s="27" t="s">
        <v>22</v>
      </c>
      <c r="D386" s="7"/>
      <c r="E386" s="7">
        <v>17850</v>
      </c>
      <c r="F386" s="7">
        <v>0</v>
      </c>
      <c r="G386" s="7">
        <v>0</v>
      </c>
      <c r="H386" s="7">
        <v>33475</v>
      </c>
      <c r="I386" s="7">
        <v>0</v>
      </c>
      <c r="J386" s="7">
        <v>0</v>
      </c>
      <c r="K386" s="7">
        <v>26830</v>
      </c>
      <c r="L386" s="7">
        <v>6450</v>
      </c>
      <c r="M386" s="312">
        <f t="shared" si="56"/>
        <v>0.24040253447633247</v>
      </c>
      <c r="N386" s="7">
        <v>0</v>
      </c>
      <c r="O386" s="18">
        <f t="shared" si="65"/>
        <v>6450</v>
      </c>
      <c r="P386" s="22">
        <v>0</v>
      </c>
    </row>
    <row r="387" spans="1:16" s="200" customFormat="1" ht="15" customHeight="1">
      <c r="A387" s="21"/>
      <c r="B387" s="21" t="s">
        <v>172</v>
      </c>
      <c r="C387" s="27" t="s">
        <v>22</v>
      </c>
      <c r="D387" s="7"/>
      <c r="E387" s="7"/>
      <c r="F387" s="7"/>
      <c r="G387" s="7"/>
      <c r="H387" s="7"/>
      <c r="I387" s="7"/>
      <c r="J387" s="7"/>
      <c r="K387" s="7">
        <v>20000</v>
      </c>
      <c r="L387" s="7">
        <v>0</v>
      </c>
      <c r="M387" s="312">
        <f t="shared" si="56"/>
        <v>0</v>
      </c>
      <c r="N387" s="7">
        <v>0</v>
      </c>
      <c r="O387" s="18">
        <f t="shared" si="65"/>
        <v>0</v>
      </c>
      <c r="P387" s="22">
        <v>0</v>
      </c>
    </row>
    <row r="388" spans="1:16" s="200" customFormat="1" ht="14.25" customHeight="1">
      <c r="A388" s="21"/>
      <c r="B388" s="21" t="s">
        <v>637</v>
      </c>
      <c r="C388" s="27" t="s">
        <v>638</v>
      </c>
      <c r="D388" s="7"/>
      <c r="E388" s="7">
        <v>1400</v>
      </c>
      <c r="F388" s="7">
        <v>0</v>
      </c>
      <c r="G388" s="7">
        <v>0</v>
      </c>
      <c r="H388" s="7">
        <v>2000</v>
      </c>
      <c r="I388" s="7">
        <v>0</v>
      </c>
      <c r="J388" s="7">
        <v>0</v>
      </c>
      <c r="K388" s="7">
        <v>2000</v>
      </c>
      <c r="L388" s="7">
        <v>220</v>
      </c>
      <c r="M388" s="312">
        <f t="shared" si="56"/>
        <v>0.11</v>
      </c>
      <c r="N388" s="7">
        <v>0</v>
      </c>
      <c r="O388" s="18">
        <f t="shared" si="65"/>
        <v>220</v>
      </c>
      <c r="P388" s="22">
        <v>0</v>
      </c>
    </row>
    <row r="389" spans="1:16" s="200" customFormat="1" ht="14.25" customHeight="1">
      <c r="A389" s="21"/>
      <c r="B389" s="21" t="s">
        <v>641</v>
      </c>
      <c r="C389" s="27" t="s">
        <v>642</v>
      </c>
      <c r="D389" s="7"/>
      <c r="E389" s="7"/>
      <c r="F389" s="7"/>
      <c r="G389" s="7"/>
      <c r="H389" s="7">
        <v>12853</v>
      </c>
      <c r="I389" s="7">
        <v>0</v>
      </c>
      <c r="J389" s="7">
        <v>0</v>
      </c>
      <c r="K389" s="7">
        <v>15805</v>
      </c>
      <c r="L389" s="7">
        <v>0</v>
      </c>
      <c r="M389" s="312">
        <f t="shared" si="56"/>
        <v>0</v>
      </c>
      <c r="N389" s="7">
        <v>0</v>
      </c>
      <c r="O389" s="18">
        <f t="shared" si="65"/>
        <v>0</v>
      </c>
      <c r="P389" s="22">
        <v>0</v>
      </c>
    </row>
    <row r="390" spans="1:16" s="200" customFormat="1" ht="13.5" customHeight="1">
      <c r="A390" s="21"/>
      <c r="B390" s="21" t="s">
        <v>661</v>
      </c>
      <c r="C390" s="27" t="s">
        <v>547</v>
      </c>
      <c r="D390" s="7"/>
      <c r="E390" s="7"/>
      <c r="F390" s="7"/>
      <c r="G390" s="7"/>
      <c r="H390" s="7"/>
      <c r="I390" s="7"/>
      <c r="J390" s="7"/>
      <c r="K390" s="7">
        <v>25000</v>
      </c>
      <c r="L390" s="7">
        <v>0</v>
      </c>
      <c r="M390" s="312">
        <f t="shared" si="56"/>
        <v>0</v>
      </c>
      <c r="N390" s="7">
        <v>0</v>
      </c>
      <c r="O390" s="18">
        <f t="shared" si="65"/>
        <v>0</v>
      </c>
      <c r="P390" s="22">
        <v>0</v>
      </c>
    </row>
    <row r="391" spans="1:16" s="199" customFormat="1" ht="18" customHeight="1">
      <c r="A391" s="197" t="s">
        <v>122</v>
      </c>
      <c r="B391" s="197"/>
      <c r="C391" s="198" t="s">
        <v>123</v>
      </c>
      <c r="D391" s="191" t="e">
        <f>D392+D406+D421+#REF!+D446</f>
        <v>#REF!</v>
      </c>
      <c r="E391" s="191" t="e">
        <f>E392+E406+E421+#REF!+E446+#REF!+E451</f>
        <v>#REF!</v>
      </c>
      <c r="F391" s="191" t="e">
        <f>F392+F406+F421+F446+#REF!+F451</f>
        <v>#REF!</v>
      </c>
      <c r="G391" s="191" t="e">
        <f>G392+G406+G421+G446+#REF!+G451</f>
        <v>#REF!</v>
      </c>
      <c r="H391" s="191" t="e">
        <f>H392+#REF!+H406+H421+H446+H451+H436</f>
        <v>#REF!</v>
      </c>
      <c r="I391" s="191" t="e">
        <f>I392+#REF!+I406+I421+I446+I451+I436</f>
        <v>#REF!</v>
      </c>
      <c r="J391" s="191" t="e">
        <f>J392+#REF!+J406+J421+J446+J451+J436</f>
        <v>#REF!</v>
      </c>
      <c r="K391" s="191">
        <f>K392+K406+K421+K446+K451+K436</f>
        <v>3653712</v>
      </c>
      <c r="L391" s="191">
        <f>L392+L406+L421+L446+L451+L436</f>
        <v>887391</v>
      </c>
      <c r="M391" s="405">
        <f t="shared" si="56"/>
        <v>0.24287382256729595</v>
      </c>
      <c r="N391" s="191">
        <f>N392+N406+N421+N446+N451+N436</f>
        <v>0</v>
      </c>
      <c r="O391" s="191">
        <f>O392+O406+O421+O446+O451+O436</f>
        <v>887391</v>
      </c>
      <c r="P391" s="191">
        <f>P392+P406+P421+P446+P451+P436</f>
        <v>0</v>
      </c>
    </row>
    <row r="392" spans="1:16" s="200" customFormat="1" ht="24" customHeight="1">
      <c r="A392" s="215" t="s">
        <v>124</v>
      </c>
      <c r="B392" s="354"/>
      <c r="C392" s="352" t="s">
        <v>125</v>
      </c>
      <c r="D392" s="186" t="e">
        <f>D394+D395+D396+#REF!</f>
        <v>#REF!</v>
      </c>
      <c r="E392" s="186" t="e">
        <f>E394+E395+E396+E397+E393+E398+E399+E400+#REF!+E401+E402+#REF!+E404+#REF!</f>
        <v>#REF!</v>
      </c>
      <c r="F392" s="186" t="e">
        <f>F394+F395+F396+F397+F393+F398+F399+F400+#REF!+F401+F402+#REF!+F404+#REF!</f>
        <v>#REF!</v>
      </c>
      <c r="G392" s="186" t="e">
        <f>G394+G395+G396+G397+G393+G398+G399+G400+#REF!+G401+G402+#REF!+G404+#REF!</f>
        <v>#REF!</v>
      </c>
      <c r="H392" s="186" t="e">
        <f>H394+H395+H396+H397+H398+H399+H400+#REF!+H401+H402+#REF!+H404+#REF!+#REF!</f>
        <v>#REF!</v>
      </c>
      <c r="I392" s="186" t="e">
        <f>I394+I395+I396+I397+I398+I399+I400+#REF!+I401+I402+#REF!+I404+#REF!+#REF!</f>
        <v>#REF!</v>
      </c>
      <c r="J392" s="186" t="e">
        <f>J394+J395+J396+J397+J398+J399+J400+#REF!+J401+J402+#REF!+J404+#REF!+#REF!</f>
        <v>#REF!</v>
      </c>
      <c r="K392" s="186">
        <f>SUM(K393:K405)</f>
        <v>1289372</v>
      </c>
      <c r="L392" s="186">
        <f>SUM(L393:L405)</f>
        <v>418910</v>
      </c>
      <c r="M392" s="185">
        <f t="shared" si="56"/>
        <v>0.32489459985171076</v>
      </c>
      <c r="N392" s="186">
        <f>SUM(N393:N404)</f>
        <v>0</v>
      </c>
      <c r="O392" s="186">
        <f>SUM(O393:O405)</f>
        <v>418910</v>
      </c>
      <c r="P392" s="186">
        <f>SUM(P393:P404)</f>
        <v>0</v>
      </c>
    </row>
    <row r="393" spans="1:16" s="200" customFormat="1" ht="16.5" customHeight="1">
      <c r="A393" s="21"/>
      <c r="B393" s="33" t="s">
        <v>607</v>
      </c>
      <c r="C393" s="27" t="s">
        <v>68</v>
      </c>
      <c r="D393" s="7"/>
      <c r="E393" s="7">
        <v>32821</v>
      </c>
      <c r="F393" s="7">
        <v>0</v>
      </c>
      <c r="G393" s="7">
        <v>0</v>
      </c>
      <c r="H393" s="6"/>
      <c r="I393" s="6"/>
      <c r="J393" s="6"/>
      <c r="K393" s="7">
        <v>0</v>
      </c>
      <c r="L393" s="7">
        <v>0</v>
      </c>
      <c r="M393" s="312">
        <v>0</v>
      </c>
      <c r="N393" s="7">
        <v>0</v>
      </c>
      <c r="O393" s="22">
        <f>L393</f>
        <v>0</v>
      </c>
      <c r="P393" s="22">
        <v>0</v>
      </c>
    </row>
    <row r="394" spans="1:16" s="200" customFormat="1" ht="15.75" customHeight="1">
      <c r="A394" s="21"/>
      <c r="B394" s="21" t="s">
        <v>619</v>
      </c>
      <c r="C394" s="27" t="s">
        <v>620</v>
      </c>
      <c r="D394" s="7">
        <v>1270889</v>
      </c>
      <c r="E394" s="7">
        <v>1044649</v>
      </c>
      <c r="F394" s="7">
        <v>19143</v>
      </c>
      <c r="G394" s="7">
        <v>45000</v>
      </c>
      <c r="H394" s="7">
        <v>562350</v>
      </c>
      <c r="I394" s="7">
        <v>0</v>
      </c>
      <c r="J394" s="7">
        <v>0</v>
      </c>
      <c r="K394" s="7">
        <v>658167</v>
      </c>
      <c r="L394" s="7">
        <v>127788</v>
      </c>
      <c r="M394" s="312">
        <f t="shared" si="56"/>
        <v>0.19415740989748803</v>
      </c>
      <c r="N394" s="7">
        <v>0</v>
      </c>
      <c r="O394" s="22">
        <f aca="true" t="shared" si="66" ref="O394:O405">L394</f>
        <v>127788</v>
      </c>
      <c r="P394" s="22">
        <v>0</v>
      </c>
    </row>
    <row r="395" spans="1:16" s="200" customFormat="1" ht="14.25" customHeight="1">
      <c r="A395" s="21"/>
      <c r="B395" s="21" t="s">
        <v>623</v>
      </c>
      <c r="C395" s="27" t="s">
        <v>624</v>
      </c>
      <c r="D395" s="7">
        <v>95035</v>
      </c>
      <c r="E395" s="7">
        <v>92025</v>
      </c>
      <c r="F395" s="7">
        <v>0</v>
      </c>
      <c r="G395" s="7">
        <v>0</v>
      </c>
      <c r="H395" s="7">
        <v>46308</v>
      </c>
      <c r="I395" s="7">
        <v>0</v>
      </c>
      <c r="J395" s="7">
        <v>0</v>
      </c>
      <c r="K395" s="7">
        <v>51540</v>
      </c>
      <c r="L395" s="7">
        <v>42690</v>
      </c>
      <c r="M395" s="312">
        <f t="shared" si="56"/>
        <v>0.8282887077997672</v>
      </c>
      <c r="N395" s="7">
        <v>0</v>
      </c>
      <c r="O395" s="22">
        <f t="shared" si="66"/>
        <v>42690</v>
      </c>
      <c r="P395" s="22">
        <v>0</v>
      </c>
    </row>
    <row r="396" spans="1:16" s="200" customFormat="1" ht="13.5" customHeight="1">
      <c r="A396" s="21"/>
      <c r="B396" s="33" t="s">
        <v>652</v>
      </c>
      <c r="C396" s="27" t="s">
        <v>690</v>
      </c>
      <c r="D396" s="7">
        <v>274033</v>
      </c>
      <c r="E396" s="7">
        <v>199495</v>
      </c>
      <c r="F396" s="7">
        <v>2349</v>
      </c>
      <c r="G396" s="7">
        <v>8046</v>
      </c>
      <c r="H396" s="7">
        <v>107000</v>
      </c>
      <c r="I396" s="7">
        <v>0</v>
      </c>
      <c r="J396" s="7">
        <v>0</v>
      </c>
      <c r="K396" s="7">
        <v>127600</v>
      </c>
      <c r="L396" s="7">
        <v>29290</v>
      </c>
      <c r="M396" s="312">
        <f t="shared" si="56"/>
        <v>0.22954545454545455</v>
      </c>
      <c r="N396" s="7">
        <v>0</v>
      </c>
      <c r="O396" s="22">
        <f t="shared" si="66"/>
        <v>29290</v>
      </c>
      <c r="P396" s="22">
        <v>0</v>
      </c>
    </row>
    <row r="397" spans="1:16" s="200" customFormat="1" ht="14.25" customHeight="1">
      <c r="A397" s="21"/>
      <c r="B397" s="33" t="s">
        <v>627</v>
      </c>
      <c r="C397" s="27" t="s">
        <v>628</v>
      </c>
      <c r="D397" s="7"/>
      <c r="E397" s="7">
        <v>27615</v>
      </c>
      <c r="F397" s="7">
        <v>321</v>
      </c>
      <c r="G397" s="7">
        <v>1102</v>
      </c>
      <c r="H397" s="7">
        <v>14660</v>
      </c>
      <c r="I397" s="7">
        <v>0</v>
      </c>
      <c r="J397" s="7">
        <v>0</v>
      </c>
      <c r="K397" s="7">
        <v>17000</v>
      </c>
      <c r="L397" s="7">
        <v>4167</v>
      </c>
      <c r="M397" s="312">
        <f t="shared" si="56"/>
        <v>0.24511764705882352</v>
      </c>
      <c r="N397" s="7">
        <v>0</v>
      </c>
      <c r="O397" s="22">
        <f t="shared" si="66"/>
        <v>4167</v>
      </c>
      <c r="P397" s="22">
        <v>0</v>
      </c>
    </row>
    <row r="398" spans="1:16" s="200" customFormat="1" ht="14.25" customHeight="1">
      <c r="A398" s="21"/>
      <c r="B398" s="33" t="s">
        <v>629</v>
      </c>
      <c r="C398" s="27" t="s">
        <v>65</v>
      </c>
      <c r="D398" s="7"/>
      <c r="E398" s="7">
        <v>123652</v>
      </c>
      <c r="F398" s="7">
        <v>12612</v>
      </c>
      <c r="G398" s="7">
        <v>0</v>
      </c>
      <c r="H398" s="7">
        <v>114868</v>
      </c>
      <c r="I398" s="7">
        <v>0</v>
      </c>
      <c r="J398" s="7">
        <v>0</v>
      </c>
      <c r="K398" s="7">
        <v>94900</v>
      </c>
      <c r="L398" s="7">
        <v>18882</v>
      </c>
      <c r="M398" s="312">
        <f t="shared" si="56"/>
        <v>0.1989673340358272</v>
      </c>
      <c r="N398" s="7">
        <v>0</v>
      </c>
      <c r="O398" s="22">
        <f t="shared" si="66"/>
        <v>18882</v>
      </c>
      <c r="P398" s="22">
        <v>0</v>
      </c>
    </row>
    <row r="399" spans="1:16" s="200" customFormat="1" ht="15" customHeight="1">
      <c r="A399" s="21"/>
      <c r="B399" s="33" t="s">
        <v>16</v>
      </c>
      <c r="C399" s="27" t="s">
        <v>106</v>
      </c>
      <c r="D399" s="7"/>
      <c r="E399" s="7">
        <v>145078</v>
      </c>
      <c r="F399" s="7">
        <v>0</v>
      </c>
      <c r="G399" s="7">
        <v>20000</v>
      </c>
      <c r="H399" s="7">
        <v>57000</v>
      </c>
      <c r="I399" s="7">
        <v>0</v>
      </c>
      <c r="J399" s="7">
        <v>0</v>
      </c>
      <c r="K399" s="7">
        <v>65000</v>
      </c>
      <c r="L399" s="7">
        <v>12573</v>
      </c>
      <c r="M399" s="312">
        <f t="shared" si="56"/>
        <v>0.19343076923076924</v>
      </c>
      <c r="N399" s="7">
        <v>0</v>
      </c>
      <c r="O399" s="22">
        <f t="shared" si="66"/>
        <v>12573</v>
      </c>
      <c r="P399" s="22">
        <v>0</v>
      </c>
    </row>
    <row r="400" spans="1:16" s="200" customFormat="1" ht="14.25" customHeight="1">
      <c r="A400" s="21"/>
      <c r="B400" s="33" t="s">
        <v>631</v>
      </c>
      <c r="C400" s="27" t="s">
        <v>20</v>
      </c>
      <c r="D400" s="7"/>
      <c r="E400" s="7">
        <v>21328</v>
      </c>
      <c r="F400" s="7">
        <v>3000</v>
      </c>
      <c r="G400" s="7">
        <v>0</v>
      </c>
      <c r="H400" s="7">
        <v>17200</v>
      </c>
      <c r="I400" s="7">
        <v>0</v>
      </c>
      <c r="J400" s="7">
        <v>0</v>
      </c>
      <c r="K400" s="7">
        <v>17500</v>
      </c>
      <c r="L400" s="7">
        <v>5282</v>
      </c>
      <c r="M400" s="312">
        <f t="shared" si="56"/>
        <v>0.30182857142857145</v>
      </c>
      <c r="N400" s="7">
        <v>0</v>
      </c>
      <c r="O400" s="22">
        <f t="shared" si="66"/>
        <v>5282</v>
      </c>
      <c r="P400" s="22">
        <v>0</v>
      </c>
    </row>
    <row r="401" spans="1:16" s="200" customFormat="1" ht="15" customHeight="1">
      <c r="A401" s="21"/>
      <c r="B401" s="33" t="s">
        <v>635</v>
      </c>
      <c r="C401" s="27" t="s">
        <v>22</v>
      </c>
      <c r="D401" s="7"/>
      <c r="E401" s="7">
        <v>22737</v>
      </c>
      <c r="F401" s="7">
        <v>4000</v>
      </c>
      <c r="G401" s="7">
        <v>0</v>
      </c>
      <c r="H401" s="7">
        <v>27250</v>
      </c>
      <c r="I401" s="7">
        <v>0</v>
      </c>
      <c r="J401" s="7">
        <v>0</v>
      </c>
      <c r="K401" s="7">
        <v>39200</v>
      </c>
      <c r="L401" s="7">
        <v>21252</v>
      </c>
      <c r="M401" s="312">
        <f t="shared" si="56"/>
        <v>0.5421428571428571</v>
      </c>
      <c r="N401" s="7">
        <v>0</v>
      </c>
      <c r="O401" s="22">
        <f t="shared" si="66"/>
        <v>21252</v>
      </c>
      <c r="P401" s="22">
        <v>0</v>
      </c>
    </row>
    <row r="402" spans="1:16" s="200" customFormat="1" ht="14.25" customHeight="1">
      <c r="A402" s="21"/>
      <c r="B402" s="33" t="s">
        <v>637</v>
      </c>
      <c r="C402" s="27" t="s">
        <v>638</v>
      </c>
      <c r="D402" s="7"/>
      <c r="E402" s="7">
        <v>2384</v>
      </c>
      <c r="F402" s="7">
        <v>0</v>
      </c>
      <c r="G402" s="7">
        <v>800</v>
      </c>
      <c r="H402" s="7">
        <v>300</v>
      </c>
      <c r="I402" s="7">
        <v>0</v>
      </c>
      <c r="J402" s="7">
        <v>0</v>
      </c>
      <c r="K402" s="7">
        <v>3000</v>
      </c>
      <c r="L402" s="7">
        <v>44</v>
      </c>
      <c r="M402" s="312">
        <f aca="true" t="shared" si="67" ref="M402:M465">L402/K402</f>
        <v>0.014666666666666666</v>
      </c>
      <c r="N402" s="7">
        <v>0</v>
      </c>
      <c r="O402" s="22">
        <f t="shared" si="66"/>
        <v>44</v>
      </c>
      <c r="P402" s="22">
        <v>0</v>
      </c>
    </row>
    <row r="403" spans="1:16" s="200" customFormat="1" ht="14.25" customHeight="1">
      <c r="A403" s="21"/>
      <c r="B403" s="33" t="s">
        <v>639</v>
      </c>
      <c r="C403" s="27" t="s">
        <v>640</v>
      </c>
      <c r="D403" s="7"/>
      <c r="E403" s="7"/>
      <c r="F403" s="7"/>
      <c r="G403" s="7"/>
      <c r="H403" s="7"/>
      <c r="I403" s="7"/>
      <c r="J403" s="7"/>
      <c r="K403" s="7">
        <v>1200</v>
      </c>
      <c r="L403" s="7">
        <v>0</v>
      </c>
      <c r="M403" s="312">
        <f t="shared" si="67"/>
        <v>0</v>
      </c>
      <c r="N403" s="7">
        <v>0</v>
      </c>
      <c r="O403" s="22">
        <f t="shared" si="66"/>
        <v>0</v>
      </c>
      <c r="P403" s="22">
        <v>0</v>
      </c>
    </row>
    <row r="404" spans="1:16" s="200" customFormat="1" ht="14.25" customHeight="1">
      <c r="A404" s="21"/>
      <c r="B404" s="33" t="s">
        <v>641</v>
      </c>
      <c r="C404" s="27" t="s">
        <v>642</v>
      </c>
      <c r="D404" s="7"/>
      <c r="E404" s="7">
        <v>79227</v>
      </c>
      <c r="F404" s="7">
        <v>0</v>
      </c>
      <c r="G404" s="7">
        <v>0</v>
      </c>
      <c r="H404" s="7">
        <v>31503</v>
      </c>
      <c r="I404" s="7">
        <v>0</v>
      </c>
      <c r="J404" s="7">
        <v>0</v>
      </c>
      <c r="K404" s="7">
        <v>35318</v>
      </c>
      <c r="L404" s="7">
        <v>0</v>
      </c>
      <c r="M404" s="312">
        <f t="shared" si="67"/>
        <v>0</v>
      </c>
      <c r="N404" s="7">
        <v>0</v>
      </c>
      <c r="O404" s="22">
        <f t="shared" si="66"/>
        <v>0</v>
      </c>
      <c r="P404" s="22">
        <v>0</v>
      </c>
    </row>
    <row r="405" spans="1:16" s="200" customFormat="1" ht="14.25" customHeight="1">
      <c r="A405" s="21"/>
      <c r="B405" s="33" t="s">
        <v>659</v>
      </c>
      <c r="C405" s="27" t="s">
        <v>239</v>
      </c>
      <c r="D405" s="7"/>
      <c r="E405" s="7"/>
      <c r="F405" s="7"/>
      <c r="G405" s="7"/>
      <c r="H405" s="7"/>
      <c r="I405" s="7"/>
      <c r="J405" s="7"/>
      <c r="K405" s="7">
        <v>178947</v>
      </c>
      <c r="L405" s="7">
        <v>156942</v>
      </c>
      <c r="M405" s="312">
        <f t="shared" si="67"/>
        <v>0.8770306291807072</v>
      </c>
      <c r="N405" s="7">
        <v>0</v>
      </c>
      <c r="O405" s="22">
        <f t="shared" si="66"/>
        <v>156942</v>
      </c>
      <c r="P405" s="22">
        <v>0</v>
      </c>
    </row>
    <row r="406" spans="1:16" s="200" customFormat="1" ht="15.75" customHeight="1">
      <c r="A406" s="215" t="s">
        <v>127</v>
      </c>
      <c r="B406" s="354"/>
      <c r="C406" s="214" t="s">
        <v>128</v>
      </c>
      <c r="D406" s="186" t="e">
        <f>D408+D409+D410+#REF!</f>
        <v>#REF!</v>
      </c>
      <c r="E406" s="186" t="e">
        <f>E408+E409+E410+E411+E407+E413+E414+E415+#REF!+E416+E418+#REF!+E419</f>
        <v>#REF!</v>
      </c>
      <c r="F406" s="186" t="e">
        <f>F408+F409+F410+F411+F407+F413+F414+F415+#REF!+F416+F418+#REF!+F419</f>
        <v>#REF!</v>
      </c>
      <c r="G406" s="186" t="e">
        <f>G408+G409+G410+G411+G407+G413+G414+G415+#REF!+G416+G418+#REF!+G419</f>
        <v>#REF!</v>
      </c>
      <c r="H406" s="186" t="e">
        <f>H408+H409+H410+H411+H407+H413+H414+H415+H416+H418+#REF!+H419+H420</f>
        <v>#REF!</v>
      </c>
      <c r="I406" s="186" t="e">
        <f>I408+I409+I410+I411+I407+I413+I414+I415+I416+I418+#REF!+I419+I420</f>
        <v>#REF!</v>
      </c>
      <c r="J406" s="186" t="e">
        <f>J408+J409+J410+J411+J407+J413+J414+J415+J416+J418+#REF!+J419+J420</f>
        <v>#REF!</v>
      </c>
      <c r="K406" s="186">
        <f aca="true" t="shared" si="68" ref="K406:P406">SUM(K407:K420)</f>
        <v>416000</v>
      </c>
      <c r="L406" s="186">
        <f t="shared" si="68"/>
        <v>126683</v>
      </c>
      <c r="M406" s="185">
        <f t="shared" si="67"/>
        <v>0.3045264423076923</v>
      </c>
      <c r="N406" s="186">
        <f t="shared" si="68"/>
        <v>0</v>
      </c>
      <c r="O406" s="186">
        <f t="shared" si="68"/>
        <v>126683</v>
      </c>
      <c r="P406" s="186">
        <f t="shared" si="68"/>
        <v>0</v>
      </c>
    </row>
    <row r="407" spans="1:16" s="200" customFormat="1" ht="14.25" customHeight="1">
      <c r="A407" s="21"/>
      <c r="B407" s="33" t="s">
        <v>607</v>
      </c>
      <c r="C407" s="27" t="s">
        <v>68</v>
      </c>
      <c r="D407" s="7"/>
      <c r="E407" s="7">
        <v>4293</v>
      </c>
      <c r="F407" s="7">
        <v>0</v>
      </c>
      <c r="G407" s="7">
        <v>0</v>
      </c>
      <c r="H407" s="7">
        <v>3580</v>
      </c>
      <c r="I407" s="7">
        <v>0</v>
      </c>
      <c r="J407" s="7">
        <v>0</v>
      </c>
      <c r="K407" s="7">
        <v>0</v>
      </c>
      <c r="L407" s="7">
        <v>0</v>
      </c>
      <c r="M407" s="312">
        <v>0</v>
      </c>
      <c r="N407" s="7">
        <v>0</v>
      </c>
      <c r="O407" s="22">
        <f>L407</f>
        <v>0</v>
      </c>
      <c r="P407" s="22">
        <v>0</v>
      </c>
    </row>
    <row r="408" spans="1:16" s="200" customFormat="1" ht="14.25" customHeight="1">
      <c r="A408" s="21"/>
      <c r="B408" s="21" t="s">
        <v>619</v>
      </c>
      <c r="C408" s="27" t="s">
        <v>548</v>
      </c>
      <c r="D408" s="7">
        <v>338872</v>
      </c>
      <c r="E408" s="7">
        <v>347249</v>
      </c>
      <c r="F408" s="7">
        <v>4011</v>
      </c>
      <c r="G408" s="7">
        <v>5633</v>
      </c>
      <c r="H408" s="18">
        <v>240145</v>
      </c>
      <c r="I408" s="18">
        <v>0</v>
      </c>
      <c r="J408" s="18">
        <v>0</v>
      </c>
      <c r="K408" s="7">
        <v>283987</v>
      </c>
      <c r="L408" s="7">
        <v>73401</v>
      </c>
      <c r="M408" s="312">
        <f t="shared" si="67"/>
        <v>0.25846605654484184</v>
      </c>
      <c r="N408" s="7">
        <v>0</v>
      </c>
      <c r="O408" s="22">
        <f aca="true" t="shared" si="69" ref="O408:O435">L408</f>
        <v>73401</v>
      </c>
      <c r="P408" s="22">
        <v>0</v>
      </c>
    </row>
    <row r="409" spans="1:16" s="200" customFormat="1" ht="16.5" customHeight="1">
      <c r="A409" s="21"/>
      <c r="B409" s="21" t="s">
        <v>623</v>
      </c>
      <c r="C409" s="27" t="s">
        <v>624</v>
      </c>
      <c r="D409" s="7">
        <v>22404</v>
      </c>
      <c r="E409" s="7">
        <v>26837</v>
      </c>
      <c r="F409" s="7">
        <v>0</v>
      </c>
      <c r="G409" s="7">
        <v>0</v>
      </c>
      <c r="H409" s="7">
        <v>17713</v>
      </c>
      <c r="I409" s="7">
        <v>0</v>
      </c>
      <c r="J409" s="7">
        <v>0</v>
      </c>
      <c r="K409" s="7">
        <v>22479</v>
      </c>
      <c r="L409" s="7">
        <v>21997</v>
      </c>
      <c r="M409" s="312">
        <f t="shared" si="67"/>
        <v>0.9785577650251346</v>
      </c>
      <c r="N409" s="7">
        <v>0</v>
      </c>
      <c r="O409" s="22">
        <f t="shared" si="69"/>
        <v>21997</v>
      </c>
      <c r="P409" s="22">
        <v>0</v>
      </c>
    </row>
    <row r="410" spans="1:16" s="200" customFormat="1" ht="15" customHeight="1">
      <c r="A410" s="21"/>
      <c r="B410" s="33" t="s">
        <v>675</v>
      </c>
      <c r="C410" s="27" t="s">
        <v>690</v>
      </c>
      <c r="D410" s="7">
        <v>73812</v>
      </c>
      <c r="E410" s="7">
        <v>65930</v>
      </c>
      <c r="F410" s="7">
        <v>360</v>
      </c>
      <c r="G410" s="7">
        <v>1005</v>
      </c>
      <c r="H410" s="7">
        <v>45324</v>
      </c>
      <c r="I410" s="7">
        <v>0</v>
      </c>
      <c r="J410" s="7">
        <v>0</v>
      </c>
      <c r="K410" s="7">
        <v>52867</v>
      </c>
      <c r="L410" s="7">
        <v>16669</v>
      </c>
      <c r="M410" s="312">
        <f t="shared" si="67"/>
        <v>0.31530066014716174</v>
      </c>
      <c r="N410" s="7">
        <v>0</v>
      </c>
      <c r="O410" s="22">
        <f t="shared" si="69"/>
        <v>16669</v>
      </c>
      <c r="P410" s="22">
        <v>0</v>
      </c>
    </row>
    <row r="411" spans="1:16" s="200" customFormat="1" ht="14.25" customHeight="1">
      <c r="A411" s="21"/>
      <c r="B411" s="33" t="s">
        <v>627</v>
      </c>
      <c r="C411" s="27" t="s">
        <v>628</v>
      </c>
      <c r="D411" s="7"/>
      <c r="E411" s="7">
        <v>9068</v>
      </c>
      <c r="F411" s="7">
        <v>49</v>
      </c>
      <c r="G411" s="7">
        <v>138</v>
      </c>
      <c r="H411" s="7">
        <v>6263</v>
      </c>
      <c r="I411" s="7">
        <v>0</v>
      </c>
      <c r="J411" s="7">
        <v>0</v>
      </c>
      <c r="K411" s="7">
        <v>7651</v>
      </c>
      <c r="L411" s="7">
        <v>2303</v>
      </c>
      <c r="M411" s="312">
        <f t="shared" si="67"/>
        <v>0.3010064043915828</v>
      </c>
      <c r="N411" s="7">
        <v>0</v>
      </c>
      <c r="O411" s="22">
        <f t="shared" si="69"/>
        <v>2303</v>
      </c>
      <c r="P411" s="22">
        <v>0</v>
      </c>
    </row>
    <row r="412" spans="1:16" s="200" customFormat="1" ht="14.25" customHeight="1">
      <c r="A412" s="21"/>
      <c r="B412" s="33" t="s">
        <v>470</v>
      </c>
      <c r="C412" s="27" t="s">
        <v>483</v>
      </c>
      <c r="D412" s="7"/>
      <c r="E412" s="7"/>
      <c r="F412" s="7"/>
      <c r="G412" s="7"/>
      <c r="H412" s="7"/>
      <c r="I412" s="7"/>
      <c r="J412" s="7"/>
      <c r="K412" s="7">
        <v>1000</v>
      </c>
      <c r="L412" s="7">
        <v>300</v>
      </c>
      <c r="M412" s="312">
        <f t="shared" si="67"/>
        <v>0.3</v>
      </c>
      <c r="N412" s="7">
        <v>0</v>
      </c>
      <c r="O412" s="22">
        <f t="shared" si="69"/>
        <v>300</v>
      </c>
      <c r="P412" s="22">
        <v>0</v>
      </c>
    </row>
    <row r="413" spans="1:16" s="200" customFormat="1" ht="15.75" customHeight="1">
      <c r="A413" s="21"/>
      <c r="B413" s="33" t="s">
        <v>629</v>
      </c>
      <c r="C413" s="27" t="s">
        <v>65</v>
      </c>
      <c r="D413" s="7"/>
      <c r="E413" s="7">
        <v>17339</v>
      </c>
      <c r="F413" s="7">
        <v>5526</v>
      </c>
      <c r="G413" s="7">
        <v>0</v>
      </c>
      <c r="H413" s="7">
        <v>25571</v>
      </c>
      <c r="I413" s="7">
        <v>0</v>
      </c>
      <c r="J413" s="7">
        <v>0</v>
      </c>
      <c r="K413" s="7">
        <v>13010</v>
      </c>
      <c r="L413" s="7">
        <v>4670</v>
      </c>
      <c r="M413" s="312">
        <f t="shared" si="67"/>
        <v>0.35895465026902384</v>
      </c>
      <c r="N413" s="7">
        <v>0</v>
      </c>
      <c r="O413" s="22">
        <f t="shared" si="69"/>
        <v>4670</v>
      </c>
      <c r="P413" s="22">
        <v>0</v>
      </c>
    </row>
    <row r="414" spans="1:16" s="200" customFormat="1" ht="15" customHeight="1">
      <c r="A414" s="21"/>
      <c r="B414" s="33" t="s">
        <v>58</v>
      </c>
      <c r="C414" s="27" t="s">
        <v>107</v>
      </c>
      <c r="D414" s="7"/>
      <c r="E414" s="7">
        <v>4149</v>
      </c>
      <c r="F414" s="7">
        <v>0</v>
      </c>
      <c r="G414" s="7">
        <v>0</v>
      </c>
      <c r="H414" s="7">
        <v>1500</v>
      </c>
      <c r="I414" s="7">
        <v>0</v>
      </c>
      <c r="J414" s="7">
        <v>0</v>
      </c>
      <c r="K414" s="7">
        <v>2000</v>
      </c>
      <c r="L414" s="7">
        <v>754</v>
      </c>
      <c r="M414" s="312">
        <f t="shared" si="67"/>
        <v>0.377</v>
      </c>
      <c r="N414" s="7">
        <v>0</v>
      </c>
      <c r="O414" s="22">
        <f t="shared" si="69"/>
        <v>754</v>
      </c>
      <c r="P414" s="22">
        <v>0</v>
      </c>
    </row>
    <row r="415" spans="1:16" s="200" customFormat="1" ht="15.75" customHeight="1">
      <c r="A415" s="21"/>
      <c r="B415" s="33" t="s">
        <v>631</v>
      </c>
      <c r="C415" s="27" t="s">
        <v>20</v>
      </c>
      <c r="D415" s="7"/>
      <c r="E415" s="7">
        <v>4365</v>
      </c>
      <c r="F415" s="7">
        <v>350</v>
      </c>
      <c r="G415" s="7">
        <v>0</v>
      </c>
      <c r="H415" s="7">
        <v>3966</v>
      </c>
      <c r="I415" s="7">
        <v>0</v>
      </c>
      <c r="J415" s="7">
        <v>0</v>
      </c>
      <c r="K415" s="7">
        <v>3900</v>
      </c>
      <c r="L415" s="7">
        <v>1074</v>
      </c>
      <c r="M415" s="312">
        <f t="shared" si="67"/>
        <v>0.2753846153846154</v>
      </c>
      <c r="N415" s="7">
        <v>0</v>
      </c>
      <c r="O415" s="22">
        <f t="shared" si="69"/>
        <v>1074</v>
      </c>
      <c r="P415" s="22">
        <v>0</v>
      </c>
    </row>
    <row r="416" spans="1:16" s="200" customFormat="1" ht="15" customHeight="1">
      <c r="A416" s="21"/>
      <c r="B416" s="33" t="s">
        <v>635</v>
      </c>
      <c r="C416" s="27" t="s">
        <v>22</v>
      </c>
      <c r="D416" s="7"/>
      <c r="E416" s="7">
        <v>6136</v>
      </c>
      <c r="F416" s="7">
        <v>800</v>
      </c>
      <c r="G416" s="7">
        <v>0</v>
      </c>
      <c r="H416" s="7">
        <v>6503</v>
      </c>
      <c r="I416" s="7">
        <v>0</v>
      </c>
      <c r="J416" s="7">
        <v>0</v>
      </c>
      <c r="K416" s="7">
        <v>7000</v>
      </c>
      <c r="L416" s="7">
        <v>2337</v>
      </c>
      <c r="M416" s="312">
        <f t="shared" si="67"/>
        <v>0.33385714285714285</v>
      </c>
      <c r="N416" s="7">
        <v>0</v>
      </c>
      <c r="O416" s="22">
        <f t="shared" si="69"/>
        <v>2337</v>
      </c>
      <c r="P416" s="22">
        <v>0</v>
      </c>
    </row>
    <row r="417" spans="1:16" s="200" customFormat="1" ht="15" customHeight="1">
      <c r="A417" s="21"/>
      <c r="B417" s="33" t="s">
        <v>484</v>
      </c>
      <c r="C417" s="27" t="s">
        <v>305</v>
      </c>
      <c r="D417" s="7"/>
      <c r="E417" s="7"/>
      <c r="F417" s="7"/>
      <c r="G417" s="7"/>
      <c r="H417" s="7"/>
      <c r="I417" s="7"/>
      <c r="J417" s="7"/>
      <c r="K417" s="7">
        <v>1930</v>
      </c>
      <c r="L417" s="7">
        <v>296</v>
      </c>
      <c r="M417" s="312">
        <f t="shared" si="67"/>
        <v>0.1533678756476684</v>
      </c>
      <c r="N417" s="7">
        <v>0</v>
      </c>
      <c r="O417" s="22">
        <f t="shared" si="69"/>
        <v>296</v>
      </c>
      <c r="P417" s="22">
        <v>0</v>
      </c>
    </row>
    <row r="418" spans="1:16" s="200" customFormat="1" ht="16.5" customHeight="1">
      <c r="A418" s="21"/>
      <c r="B418" s="33" t="s">
        <v>637</v>
      </c>
      <c r="C418" s="27" t="s">
        <v>638</v>
      </c>
      <c r="D418" s="7"/>
      <c r="E418" s="7">
        <v>1250</v>
      </c>
      <c r="F418" s="7">
        <v>100</v>
      </c>
      <c r="G418" s="7">
        <v>0</v>
      </c>
      <c r="H418" s="7">
        <v>2500</v>
      </c>
      <c r="I418" s="7">
        <v>0</v>
      </c>
      <c r="J418" s="7">
        <v>0</v>
      </c>
      <c r="K418" s="7">
        <v>3000</v>
      </c>
      <c r="L418" s="7">
        <v>675</v>
      </c>
      <c r="M418" s="312">
        <f t="shared" si="67"/>
        <v>0.225</v>
      </c>
      <c r="N418" s="7">
        <v>0</v>
      </c>
      <c r="O418" s="22">
        <f t="shared" si="69"/>
        <v>675</v>
      </c>
      <c r="P418" s="22">
        <v>0</v>
      </c>
    </row>
    <row r="419" spans="1:16" s="200" customFormat="1" ht="15.75" customHeight="1">
      <c r="A419" s="21"/>
      <c r="B419" s="21" t="s">
        <v>641</v>
      </c>
      <c r="C419" s="10" t="s">
        <v>642</v>
      </c>
      <c r="D419" s="7"/>
      <c r="E419" s="7">
        <v>21517</v>
      </c>
      <c r="F419" s="7">
        <v>0</v>
      </c>
      <c r="G419" s="7">
        <v>0</v>
      </c>
      <c r="H419" s="7">
        <v>11800</v>
      </c>
      <c r="I419" s="7">
        <v>0</v>
      </c>
      <c r="J419" s="7">
        <v>0</v>
      </c>
      <c r="K419" s="7">
        <v>16560</v>
      </c>
      <c r="L419" s="7">
        <v>2000</v>
      </c>
      <c r="M419" s="312">
        <f t="shared" si="67"/>
        <v>0.12077294685990338</v>
      </c>
      <c r="N419" s="7">
        <v>0</v>
      </c>
      <c r="O419" s="22">
        <f t="shared" si="69"/>
        <v>2000</v>
      </c>
      <c r="P419" s="22">
        <v>0</v>
      </c>
    </row>
    <row r="420" spans="1:16" s="200" customFormat="1" ht="15" customHeight="1">
      <c r="A420" s="21"/>
      <c r="B420" s="21" t="s">
        <v>657</v>
      </c>
      <c r="C420" s="10" t="s">
        <v>658</v>
      </c>
      <c r="D420" s="7"/>
      <c r="E420" s="7"/>
      <c r="F420" s="7"/>
      <c r="G420" s="7"/>
      <c r="H420" s="7">
        <v>1217</v>
      </c>
      <c r="I420" s="7">
        <v>0</v>
      </c>
      <c r="J420" s="7">
        <v>0</v>
      </c>
      <c r="K420" s="7">
        <v>616</v>
      </c>
      <c r="L420" s="7">
        <v>207</v>
      </c>
      <c r="M420" s="312">
        <f t="shared" si="67"/>
        <v>0.336038961038961</v>
      </c>
      <c r="N420" s="7">
        <v>0</v>
      </c>
      <c r="O420" s="22">
        <f t="shared" si="69"/>
        <v>207</v>
      </c>
      <c r="P420" s="22">
        <v>0</v>
      </c>
    </row>
    <row r="421" spans="1:16" s="200" customFormat="1" ht="16.5" customHeight="1">
      <c r="A421" s="215" t="s">
        <v>129</v>
      </c>
      <c r="B421" s="215"/>
      <c r="C421" s="214" t="s">
        <v>130</v>
      </c>
      <c r="D421" s="186" t="e">
        <f>D423+D424+D425+#REF!+#REF!</f>
        <v>#REF!</v>
      </c>
      <c r="E421" s="186" t="e">
        <f>E423+E424+E425+E426+E422+#REF!+#REF!+#REF!+#REF!+#REF!+#REF!+#REF!+#REF!</f>
        <v>#REF!</v>
      </c>
      <c r="F421" s="186" t="e">
        <f>F423+F424+F425+F426+F422+#REF!+#REF!+#REF!+#REF!+#REF!+#REF!+#REF!+#REF!</f>
        <v>#REF!</v>
      </c>
      <c r="G421" s="186" t="e">
        <f>G423+G424+G425+G426+G422+#REF!+#REF!+#REF!+#REF!+#REF!+#REF!+#REF!+#REF!</f>
        <v>#REF!</v>
      </c>
      <c r="H421" s="186" t="e">
        <f>H423+H424+H425+H426+H422+#REF!+H428+H429+H431+H432+H433+#REF!</f>
        <v>#REF!</v>
      </c>
      <c r="I421" s="186" t="e">
        <f>I423+I424+I425+I426+I422+#REF!+I428+I429+I431+I432+I433</f>
        <v>#REF!</v>
      </c>
      <c r="J421" s="186" t="e">
        <f>J423+J424+J425+J426+J422+#REF!+J428+J429+J431+J432+J433</f>
        <v>#REF!</v>
      </c>
      <c r="K421" s="186">
        <f aca="true" t="shared" si="70" ref="K421:P421">SUM(K422:K435)</f>
        <v>1580280</v>
      </c>
      <c r="L421" s="186">
        <f t="shared" si="70"/>
        <v>243669</v>
      </c>
      <c r="M421" s="185">
        <f t="shared" si="67"/>
        <v>0.1541935606348242</v>
      </c>
      <c r="N421" s="186">
        <f t="shared" si="70"/>
        <v>0</v>
      </c>
      <c r="O421" s="353">
        <f t="shared" si="69"/>
        <v>243669</v>
      </c>
      <c r="P421" s="186">
        <f t="shared" si="70"/>
        <v>0</v>
      </c>
    </row>
    <row r="422" spans="1:16" s="200" customFormat="1" ht="14.25" customHeight="1">
      <c r="A422" s="21"/>
      <c r="B422" s="33" t="s">
        <v>607</v>
      </c>
      <c r="C422" s="10" t="s">
        <v>68</v>
      </c>
      <c r="D422" s="7"/>
      <c r="E422" s="7">
        <v>1600</v>
      </c>
      <c r="F422" s="7">
        <v>0</v>
      </c>
      <c r="G422" s="7">
        <v>140</v>
      </c>
      <c r="H422" s="18">
        <v>2734</v>
      </c>
      <c r="I422" s="18">
        <v>0</v>
      </c>
      <c r="J422" s="18">
        <v>0</v>
      </c>
      <c r="K422" s="7">
        <v>0</v>
      </c>
      <c r="L422" s="7">
        <v>0</v>
      </c>
      <c r="M422" s="312">
        <v>0</v>
      </c>
      <c r="N422" s="7">
        <v>0</v>
      </c>
      <c r="O422" s="22">
        <f t="shared" si="69"/>
        <v>0</v>
      </c>
      <c r="P422" s="22">
        <v>0</v>
      </c>
    </row>
    <row r="423" spans="1:16" s="200" customFormat="1" ht="14.25" customHeight="1">
      <c r="A423" s="21"/>
      <c r="B423" s="21" t="s">
        <v>619</v>
      </c>
      <c r="C423" s="10" t="s">
        <v>620</v>
      </c>
      <c r="D423" s="7">
        <v>760149</v>
      </c>
      <c r="E423" s="7">
        <v>761652</v>
      </c>
      <c r="F423" s="7">
        <v>1187</v>
      </c>
      <c r="G423" s="7">
        <v>0</v>
      </c>
      <c r="H423" s="7">
        <v>374354</v>
      </c>
      <c r="I423" s="7">
        <v>0</v>
      </c>
      <c r="J423" s="7">
        <v>0</v>
      </c>
      <c r="K423" s="7">
        <v>463820</v>
      </c>
      <c r="L423" s="7">
        <v>119074</v>
      </c>
      <c r="M423" s="312">
        <f t="shared" si="67"/>
        <v>0.2567245914363331</v>
      </c>
      <c r="N423" s="7">
        <v>0</v>
      </c>
      <c r="O423" s="22">
        <f t="shared" si="69"/>
        <v>119074</v>
      </c>
      <c r="P423" s="22">
        <v>0</v>
      </c>
    </row>
    <row r="424" spans="1:16" s="200" customFormat="1" ht="14.25" customHeight="1">
      <c r="A424" s="21"/>
      <c r="B424" s="21" t="s">
        <v>623</v>
      </c>
      <c r="C424" s="10" t="s">
        <v>624</v>
      </c>
      <c r="D424" s="7">
        <v>56427</v>
      </c>
      <c r="E424" s="7">
        <v>62354</v>
      </c>
      <c r="F424" s="7">
        <v>0</v>
      </c>
      <c r="G424" s="7">
        <v>0</v>
      </c>
      <c r="H424" s="18">
        <v>32155</v>
      </c>
      <c r="I424" s="18">
        <v>0</v>
      </c>
      <c r="J424" s="18">
        <v>0</v>
      </c>
      <c r="K424" s="7">
        <v>39282</v>
      </c>
      <c r="L424" s="7">
        <v>39281</v>
      </c>
      <c r="M424" s="312">
        <f t="shared" si="67"/>
        <v>0.9999745430477063</v>
      </c>
      <c r="N424" s="7">
        <v>0</v>
      </c>
      <c r="O424" s="22">
        <f t="shared" si="69"/>
        <v>39281</v>
      </c>
      <c r="P424" s="22">
        <v>0</v>
      </c>
    </row>
    <row r="425" spans="1:16" s="200" customFormat="1" ht="14.25" customHeight="1">
      <c r="A425" s="21"/>
      <c r="B425" s="33" t="s">
        <v>675</v>
      </c>
      <c r="C425" s="10" t="s">
        <v>653</v>
      </c>
      <c r="D425" s="7">
        <v>162435</v>
      </c>
      <c r="E425" s="7">
        <v>143919</v>
      </c>
      <c r="F425" s="7">
        <v>212</v>
      </c>
      <c r="G425" s="7">
        <v>0</v>
      </c>
      <c r="H425" s="18">
        <v>69400</v>
      </c>
      <c r="I425" s="18">
        <v>0</v>
      </c>
      <c r="J425" s="18">
        <v>0</v>
      </c>
      <c r="K425" s="7">
        <v>84056</v>
      </c>
      <c r="L425" s="7">
        <v>29306</v>
      </c>
      <c r="M425" s="312">
        <f t="shared" si="67"/>
        <v>0.3486485200342629</v>
      </c>
      <c r="N425" s="7">
        <v>0</v>
      </c>
      <c r="O425" s="22">
        <f t="shared" si="69"/>
        <v>29306</v>
      </c>
      <c r="P425" s="22">
        <v>0</v>
      </c>
    </row>
    <row r="426" spans="1:16" s="200" customFormat="1" ht="15.75" customHeight="1">
      <c r="A426" s="21"/>
      <c r="B426" s="33" t="s">
        <v>627</v>
      </c>
      <c r="C426" s="10" t="s">
        <v>628</v>
      </c>
      <c r="D426" s="7"/>
      <c r="E426" s="7">
        <v>19637</v>
      </c>
      <c r="F426" s="7">
        <v>29</v>
      </c>
      <c r="G426" s="7">
        <v>0</v>
      </c>
      <c r="H426" s="18">
        <v>9470</v>
      </c>
      <c r="I426" s="18">
        <v>0</v>
      </c>
      <c r="J426" s="18">
        <v>0</v>
      </c>
      <c r="K426" s="7">
        <v>11720</v>
      </c>
      <c r="L426" s="7">
        <v>3808</v>
      </c>
      <c r="M426" s="312">
        <f t="shared" si="67"/>
        <v>0.3249146757679181</v>
      </c>
      <c r="N426" s="7">
        <v>0</v>
      </c>
      <c r="O426" s="22">
        <f t="shared" si="69"/>
        <v>3808</v>
      </c>
      <c r="P426" s="22">
        <v>0</v>
      </c>
    </row>
    <row r="427" spans="1:16" s="200" customFormat="1" ht="13.5" customHeight="1">
      <c r="A427" s="21"/>
      <c r="B427" s="33" t="s">
        <v>470</v>
      </c>
      <c r="C427" s="10" t="s">
        <v>483</v>
      </c>
      <c r="D427" s="7"/>
      <c r="E427" s="7"/>
      <c r="F427" s="7"/>
      <c r="G427" s="7"/>
      <c r="H427" s="18"/>
      <c r="I427" s="18"/>
      <c r="J427" s="18"/>
      <c r="K427" s="7">
        <v>5000</v>
      </c>
      <c r="L427" s="7">
        <v>1432</v>
      </c>
      <c r="M427" s="312">
        <f t="shared" si="67"/>
        <v>0.2864</v>
      </c>
      <c r="N427" s="7">
        <v>0</v>
      </c>
      <c r="O427" s="22">
        <f t="shared" si="69"/>
        <v>1432</v>
      </c>
      <c r="P427" s="22">
        <v>0</v>
      </c>
    </row>
    <row r="428" spans="1:16" s="200" customFormat="1" ht="13.5" customHeight="1">
      <c r="A428" s="21"/>
      <c r="B428" s="33" t="s">
        <v>629</v>
      </c>
      <c r="C428" s="10" t="s">
        <v>656</v>
      </c>
      <c r="D428" s="7">
        <v>200</v>
      </c>
      <c r="E428" s="7">
        <v>0</v>
      </c>
      <c r="F428" s="7"/>
      <c r="G428" s="7"/>
      <c r="H428" s="18">
        <v>275062</v>
      </c>
      <c r="I428" s="18">
        <v>0</v>
      </c>
      <c r="J428" s="18">
        <v>0</v>
      </c>
      <c r="K428" s="7">
        <v>221266</v>
      </c>
      <c r="L428" s="7">
        <v>16951</v>
      </c>
      <c r="M428" s="312">
        <f t="shared" si="67"/>
        <v>0.07660914916887367</v>
      </c>
      <c r="N428" s="7">
        <v>0</v>
      </c>
      <c r="O428" s="22">
        <f t="shared" si="69"/>
        <v>16951</v>
      </c>
      <c r="P428" s="22">
        <v>0</v>
      </c>
    </row>
    <row r="429" spans="1:16" s="200" customFormat="1" ht="13.5" customHeight="1">
      <c r="A429" s="21"/>
      <c r="B429" s="33" t="s">
        <v>631</v>
      </c>
      <c r="C429" s="10" t="s">
        <v>20</v>
      </c>
      <c r="D429" s="7"/>
      <c r="E429" s="7"/>
      <c r="F429" s="7"/>
      <c r="G429" s="7"/>
      <c r="H429" s="18">
        <v>85600</v>
      </c>
      <c r="I429" s="18">
        <v>0</v>
      </c>
      <c r="J429" s="18">
        <v>0</v>
      </c>
      <c r="K429" s="7">
        <v>74954</v>
      </c>
      <c r="L429" s="7">
        <v>23611</v>
      </c>
      <c r="M429" s="312">
        <f t="shared" si="67"/>
        <v>0.3150065373429036</v>
      </c>
      <c r="N429" s="7">
        <v>0</v>
      </c>
      <c r="O429" s="22">
        <f t="shared" si="69"/>
        <v>23611</v>
      </c>
      <c r="P429" s="22">
        <v>0</v>
      </c>
    </row>
    <row r="430" spans="1:16" s="200" customFormat="1" ht="13.5" customHeight="1">
      <c r="A430" s="21"/>
      <c r="B430" s="33" t="s">
        <v>697</v>
      </c>
      <c r="C430" s="10" t="s">
        <v>698</v>
      </c>
      <c r="D430" s="7"/>
      <c r="E430" s="7"/>
      <c r="F430" s="7"/>
      <c r="G430" s="7"/>
      <c r="H430" s="18"/>
      <c r="I430" s="18"/>
      <c r="J430" s="18"/>
      <c r="K430" s="7">
        <v>660</v>
      </c>
      <c r="L430" s="7">
        <v>0</v>
      </c>
      <c r="M430" s="312">
        <f t="shared" si="67"/>
        <v>0</v>
      </c>
      <c r="N430" s="7">
        <v>0</v>
      </c>
      <c r="O430" s="22">
        <f t="shared" si="69"/>
        <v>0</v>
      </c>
      <c r="P430" s="22">
        <v>0</v>
      </c>
    </row>
    <row r="431" spans="1:16" s="200" customFormat="1" ht="13.5" customHeight="1">
      <c r="A431" s="21"/>
      <c r="B431" s="33" t="s">
        <v>635</v>
      </c>
      <c r="C431" s="10" t="s">
        <v>22</v>
      </c>
      <c r="D431" s="7"/>
      <c r="E431" s="7"/>
      <c r="F431" s="7"/>
      <c r="G431" s="7"/>
      <c r="H431" s="18">
        <v>39410</v>
      </c>
      <c r="I431" s="18">
        <v>0</v>
      </c>
      <c r="J431" s="18">
        <v>0</v>
      </c>
      <c r="K431" s="7">
        <v>34763</v>
      </c>
      <c r="L431" s="7">
        <v>8692</v>
      </c>
      <c r="M431" s="312">
        <f t="shared" si="67"/>
        <v>0.25003595777119353</v>
      </c>
      <c r="N431" s="7">
        <v>0</v>
      </c>
      <c r="O431" s="22">
        <f t="shared" si="69"/>
        <v>8692</v>
      </c>
      <c r="P431" s="22">
        <v>0</v>
      </c>
    </row>
    <row r="432" spans="1:16" s="200" customFormat="1" ht="13.5" customHeight="1">
      <c r="A432" s="21"/>
      <c r="B432" s="33" t="s">
        <v>641</v>
      </c>
      <c r="C432" s="10" t="s">
        <v>642</v>
      </c>
      <c r="D432" s="7"/>
      <c r="E432" s="7"/>
      <c r="F432" s="7"/>
      <c r="G432" s="7"/>
      <c r="H432" s="18">
        <v>15678</v>
      </c>
      <c r="I432" s="18">
        <v>0</v>
      </c>
      <c r="J432" s="18">
        <v>0</v>
      </c>
      <c r="K432" s="7">
        <v>27159</v>
      </c>
      <c r="L432" s="7">
        <v>0</v>
      </c>
      <c r="M432" s="312">
        <f t="shared" si="67"/>
        <v>0</v>
      </c>
      <c r="N432" s="7">
        <v>0</v>
      </c>
      <c r="O432" s="22">
        <f t="shared" si="69"/>
        <v>0</v>
      </c>
      <c r="P432" s="22">
        <v>0</v>
      </c>
    </row>
    <row r="433" spans="1:16" s="200" customFormat="1" ht="15.75" customHeight="1">
      <c r="A433" s="21"/>
      <c r="B433" s="33" t="s">
        <v>657</v>
      </c>
      <c r="C433" s="10" t="s">
        <v>658</v>
      </c>
      <c r="D433" s="7"/>
      <c r="E433" s="7">
        <v>94026</v>
      </c>
      <c r="F433" s="7">
        <v>0</v>
      </c>
      <c r="G433" s="7">
        <v>0</v>
      </c>
      <c r="H433" s="18">
        <v>4200</v>
      </c>
      <c r="I433" s="18">
        <v>0</v>
      </c>
      <c r="J433" s="18">
        <v>0</v>
      </c>
      <c r="K433" s="7">
        <v>6200</v>
      </c>
      <c r="L433" s="7">
        <v>1514</v>
      </c>
      <c r="M433" s="312">
        <f t="shared" si="67"/>
        <v>0.24419354838709678</v>
      </c>
      <c r="N433" s="7">
        <v>0</v>
      </c>
      <c r="O433" s="22">
        <f t="shared" si="69"/>
        <v>1514</v>
      </c>
      <c r="P433" s="22">
        <v>0</v>
      </c>
    </row>
    <row r="434" spans="1:16" s="200" customFormat="1" ht="15.75" customHeight="1">
      <c r="A434" s="21"/>
      <c r="B434" s="33" t="s">
        <v>181</v>
      </c>
      <c r="C434" s="10" t="s">
        <v>557</v>
      </c>
      <c r="D434" s="7"/>
      <c r="E434" s="7"/>
      <c r="F434" s="7"/>
      <c r="G434" s="7"/>
      <c r="H434" s="18"/>
      <c r="I434" s="18"/>
      <c r="J434" s="18"/>
      <c r="K434" s="7">
        <v>450000</v>
      </c>
      <c r="L434" s="7">
        <v>0</v>
      </c>
      <c r="M434" s="312">
        <f t="shared" si="67"/>
        <v>0</v>
      </c>
      <c r="N434" s="7"/>
      <c r="O434" s="22">
        <f t="shared" si="69"/>
        <v>0</v>
      </c>
      <c r="P434" s="22"/>
    </row>
    <row r="435" spans="1:16" s="200" customFormat="1" ht="15" customHeight="1">
      <c r="A435" s="21"/>
      <c r="B435" s="33" t="s">
        <v>304</v>
      </c>
      <c r="C435" s="10" t="s">
        <v>557</v>
      </c>
      <c r="D435" s="7"/>
      <c r="E435" s="7"/>
      <c r="F435" s="7"/>
      <c r="G435" s="7"/>
      <c r="H435" s="18"/>
      <c r="I435" s="18"/>
      <c r="J435" s="18"/>
      <c r="K435" s="7">
        <v>161400</v>
      </c>
      <c r="L435" s="7">
        <v>0</v>
      </c>
      <c r="M435" s="312">
        <f t="shared" si="67"/>
        <v>0</v>
      </c>
      <c r="N435" s="7"/>
      <c r="O435" s="22">
        <f t="shared" si="69"/>
        <v>0</v>
      </c>
      <c r="P435" s="22"/>
    </row>
    <row r="436" spans="1:16" s="200" customFormat="1" ht="16.5" customHeight="1">
      <c r="A436" s="215" t="s">
        <v>131</v>
      </c>
      <c r="B436" s="355"/>
      <c r="C436" s="214" t="s">
        <v>132</v>
      </c>
      <c r="D436" s="186"/>
      <c r="E436" s="186"/>
      <c r="F436" s="186"/>
      <c r="G436" s="186"/>
      <c r="H436" s="186">
        <f>H437</f>
        <v>5083</v>
      </c>
      <c r="I436" s="186">
        <f>I437</f>
        <v>0</v>
      </c>
      <c r="J436" s="186">
        <f>J437</f>
        <v>0</v>
      </c>
      <c r="K436" s="186">
        <f aca="true" t="shared" si="71" ref="K436:P436">SUM(K437:K445)</f>
        <v>364160</v>
      </c>
      <c r="L436" s="186">
        <f t="shared" si="71"/>
        <v>98129</v>
      </c>
      <c r="M436" s="185">
        <f t="shared" si="67"/>
        <v>0.2694667179261863</v>
      </c>
      <c r="N436" s="186">
        <f t="shared" si="71"/>
        <v>0</v>
      </c>
      <c r="O436" s="186">
        <f t="shared" si="71"/>
        <v>98129</v>
      </c>
      <c r="P436" s="186">
        <f t="shared" si="71"/>
        <v>0</v>
      </c>
    </row>
    <row r="437" spans="1:16" s="200" customFormat="1" ht="15" customHeight="1">
      <c r="A437" s="21"/>
      <c r="B437" s="33" t="s">
        <v>585</v>
      </c>
      <c r="C437" s="10" t="s">
        <v>182</v>
      </c>
      <c r="D437" s="7"/>
      <c r="E437" s="7"/>
      <c r="F437" s="7"/>
      <c r="G437" s="7"/>
      <c r="H437" s="18">
        <v>5083</v>
      </c>
      <c r="I437" s="18">
        <v>0</v>
      </c>
      <c r="J437" s="18">
        <v>0</v>
      </c>
      <c r="K437" s="18">
        <v>6000</v>
      </c>
      <c r="L437" s="18">
        <v>0</v>
      </c>
      <c r="M437" s="312">
        <f t="shared" si="67"/>
        <v>0</v>
      </c>
      <c r="N437" s="7">
        <v>0</v>
      </c>
      <c r="O437" s="22">
        <f>L437</f>
        <v>0</v>
      </c>
      <c r="P437" s="22">
        <v>0</v>
      </c>
    </row>
    <row r="438" spans="1:16" s="200" customFormat="1" ht="15" customHeight="1">
      <c r="A438" s="21"/>
      <c r="B438" s="33" t="s">
        <v>183</v>
      </c>
      <c r="C438" s="10" t="s">
        <v>182</v>
      </c>
      <c r="D438" s="7"/>
      <c r="E438" s="7"/>
      <c r="F438" s="7"/>
      <c r="G438" s="7"/>
      <c r="H438" s="18">
        <v>5083</v>
      </c>
      <c r="I438" s="18">
        <v>0</v>
      </c>
      <c r="J438" s="18">
        <v>0</v>
      </c>
      <c r="K438" s="18">
        <v>233240</v>
      </c>
      <c r="L438" s="18">
        <v>66430</v>
      </c>
      <c r="M438" s="312">
        <f t="shared" si="67"/>
        <v>0.2848139255702281</v>
      </c>
      <c r="N438" s="7">
        <v>0</v>
      </c>
      <c r="O438" s="22">
        <f aca="true" t="shared" si="72" ref="O438:O445">L438</f>
        <v>66430</v>
      </c>
      <c r="P438" s="22">
        <v>0</v>
      </c>
    </row>
    <row r="439" spans="1:16" s="200" customFormat="1" ht="15" customHeight="1">
      <c r="A439" s="21"/>
      <c r="B439" s="33" t="s">
        <v>184</v>
      </c>
      <c r="C439" s="10" t="s">
        <v>182</v>
      </c>
      <c r="D439" s="7"/>
      <c r="E439" s="7"/>
      <c r="F439" s="7"/>
      <c r="G439" s="7"/>
      <c r="H439" s="18">
        <v>5083</v>
      </c>
      <c r="I439" s="18">
        <v>0</v>
      </c>
      <c r="J439" s="18">
        <v>0</v>
      </c>
      <c r="K439" s="18">
        <v>109760</v>
      </c>
      <c r="L439" s="18">
        <v>31223</v>
      </c>
      <c r="M439" s="312">
        <f t="shared" si="67"/>
        <v>0.2844661078717201</v>
      </c>
      <c r="N439" s="7">
        <v>0</v>
      </c>
      <c r="O439" s="22">
        <f t="shared" si="72"/>
        <v>31223</v>
      </c>
      <c r="P439" s="22">
        <v>0</v>
      </c>
    </row>
    <row r="440" spans="1:16" s="200" customFormat="1" ht="15" customHeight="1">
      <c r="A440" s="21"/>
      <c r="B440" s="33" t="s">
        <v>169</v>
      </c>
      <c r="C440" s="10" t="s">
        <v>483</v>
      </c>
      <c r="D440" s="7"/>
      <c r="E440" s="7"/>
      <c r="F440" s="7"/>
      <c r="G440" s="7"/>
      <c r="H440" s="18">
        <v>5083</v>
      </c>
      <c r="I440" s="18">
        <v>0</v>
      </c>
      <c r="J440" s="18">
        <v>0</v>
      </c>
      <c r="K440" s="18">
        <v>2856</v>
      </c>
      <c r="L440" s="18">
        <v>139</v>
      </c>
      <c r="M440" s="312">
        <f t="shared" si="67"/>
        <v>0.048669467787114847</v>
      </c>
      <c r="N440" s="7">
        <v>0</v>
      </c>
      <c r="O440" s="22">
        <f t="shared" si="72"/>
        <v>139</v>
      </c>
      <c r="P440" s="22">
        <v>0</v>
      </c>
    </row>
    <row r="441" spans="1:16" s="200" customFormat="1" ht="15" customHeight="1">
      <c r="A441" s="21"/>
      <c r="B441" s="33" t="s">
        <v>170</v>
      </c>
      <c r="C441" s="10" t="s">
        <v>483</v>
      </c>
      <c r="D441" s="7"/>
      <c r="E441" s="7"/>
      <c r="F441" s="7"/>
      <c r="G441" s="7"/>
      <c r="H441" s="18">
        <v>5083</v>
      </c>
      <c r="I441" s="18">
        <v>0</v>
      </c>
      <c r="J441" s="18">
        <v>0</v>
      </c>
      <c r="K441" s="18">
        <v>1344</v>
      </c>
      <c r="L441" s="18">
        <v>65</v>
      </c>
      <c r="M441" s="312">
        <f t="shared" si="67"/>
        <v>0.04836309523809524</v>
      </c>
      <c r="N441" s="7">
        <v>0</v>
      </c>
      <c r="O441" s="22">
        <f t="shared" si="72"/>
        <v>65</v>
      </c>
      <c r="P441" s="22">
        <v>0</v>
      </c>
    </row>
    <row r="442" spans="1:16" s="200" customFormat="1" ht="15" customHeight="1">
      <c r="A442" s="21"/>
      <c r="B442" s="33" t="s">
        <v>171</v>
      </c>
      <c r="C442" s="10" t="s">
        <v>656</v>
      </c>
      <c r="D442" s="7"/>
      <c r="E442" s="7"/>
      <c r="F442" s="7"/>
      <c r="G442" s="7"/>
      <c r="H442" s="18"/>
      <c r="I442" s="18"/>
      <c r="J442" s="18"/>
      <c r="K442" s="18">
        <v>0</v>
      </c>
      <c r="L442" s="18">
        <v>0</v>
      </c>
      <c r="M442" s="312">
        <v>0</v>
      </c>
      <c r="N442" s="7"/>
      <c r="O442" s="22">
        <f t="shared" si="72"/>
        <v>0</v>
      </c>
      <c r="P442" s="22"/>
    </row>
    <row r="443" spans="1:16" s="200" customFormat="1" ht="15" customHeight="1">
      <c r="A443" s="21"/>
      <c r="B443" s="33" t="s">
        <v>174</v>
      </c>
      <c r="C443" s="10" t="s">
        <v>656</v>
      </c>
      <c r="D443" s="7"/>
      <c r="E443" s="7"/>
      <c r="F443" s="7"/>
      <c r="G443" s="7"/>
      <c r="H443" s="18"/>
      <c r="I443" s="18"/>
      <c r="J443" s="18"/>
      <c r="K443" s="18">
        <v>0</v>
      </c>
      <c r="L443" s="18">
        <v>0</v>
      </c>
      <c r="M443" s="312">
        <v>0</v>
      </c>
      <c r="N443" s="7"/>
      <c r="O443" s="22">
        <f t="shared" si="72"/>
        <v>0</v>
      </c>
      <c r="P443" s="22"/>
    </row>
    <row r="444" spans="1:16" s="200" customFormat="1" ht="15" customHeight="1">
      <c r="A444" s="21"/>
      <c r="B444" s="33" t="s">
        <v>172</v>
      </c>
      <c r="C444" s="10" t="s">
        <v>22</v>
      </c>
      <c r="D444" s="7"/>
      <c r="E444" s="7"/>
      <c r="F444" s="7"/>
      <c r="G444" s="7"/>
      <c r="H444" s="18">
        <v>5083</v>
      </c>
      <c r="I444" s="18">
        <v>0</v>
      </c>
      <c r="J444" s="18">
        <v>0</v>
      </c>
      <c r="K444" s="18">
        <v>7453</v>
      </c>
      <c r="L444" s="18">
        <v>158</v>
      </c>
      <c r="M444" s="312">
        <f t="shared" si="67"/>
        <v>0.021199516973030994</v>
      </c>
      <c r="N444" s="7">
        <v>0</v>
      </c>
      <c r="O444" s="22">
        <f t="shared" si="72"/>
        <v>158</v>
      </c>
      <c r="P444" s="22">
        <v>0</v>
      </c>
    </row>
    <row r="445" spans="1:16" s="200" customFormat="1" ht="15" customHeight="1">
      <c r="A445" s="21"/>
      <c r="B445" s="33" t="s">
        <v>173</v>
      </c>
      <c r="C445" s="10" t="s">
        <v>22</v>
      </c>
      <c r="D445" s="7"/>
      <c r="E445" s="7"/>
      <c r="F445" s="7"/>
      <c r="G445" s="7"/>
      <c r="H445" s="18">
        <v>5083</v>
      </c>
      <c r="I445" s="18">
        <v>0</v>
      </c>
      <c r="J445" s="18">
        <v>0</v>
      </c>
      <c r="K445" s="18">
        <v>3507</v>
      </c>
      <c r="L445" s="18">
        <v>114</v>
      </c>
      <c r="M445" s="312">
        <f t="shared" si="67"/>
        <v>0.032506415739948676</v>
      </c>
      <c r="N445" s="7">
        <v>0</v>
      </c>
      <c r="O445" s="22">
        <f t="shared" si="72"/>
        <v>114</v>
      </c>
      <c r="P445" s="22">
        <v>0</v>
      </c>
    </row>
    <row r="446" spans="1:16" s="200" customFormat="1" ht="16.5" customHeight="1">
      <c r="A446" s="215" t="s">
        <v>133</v>
      </c>
      <c r="B446" s="215"/>
      <c r="C446" s="214" t="s">
        <v>134</v>
      </c>
      <c r="D446" s="186">
        <f>D447+D449</f>
        <v>24996</v>
      </c>
      <c r="E446" s="186" t="e">
        <f>E447+E449+E450+#REF!+#REF!+#REF!</f>
        <v>#REF!</v>
      </c>
      <c r="F446" s="186" t="e">
        <f>F447+F449+F450+#REF!+#REF!+#REF!</f>
        <v>#REF!</v>
      </c>
      <c r="G446" s="186" t="e">
        <f>G447+G449+G450+#REF!+#REF!+#REF!</f>
        <v>#REF!</v>
      </c>
      <c r="H446" s="186" t="e">
        <f>H447+#REF!+#REF!+H449+H450</f>
        <v>#REF!</v>
      </c>
      <c r="I446" s="186" t="e">
        <f>I447+#REF!+#REF!+I449+I450</f>
        <v>#REF!</v>
      </c>
      <c r="J446" s="186" t="e">
        <f>J447+#REF!+#REF!+J449+J450</f>
        <v>#REF!</v>
      </c>
      <c r="K446" s="186">
        <f>K447+K448+K449+K450</f>
        <v>3900</v>
      </c>
      <c r="L446" s="186">
        <f>L447+L448+L449+L450</f>
        <v>0</v>
      </c>
      <c r="M446" s="185">
        <f t="shared" si="67"/>
        <v>0</v>
      </c>
      <c r="N446" s="186">
        <f>N447+N448+N449+N450</f>
        <v>0</v>
      </c>
      <c r="O446" s="186">
        <f>O447+O448+O449+O450</f>
        <v>0</v>
      </c>
      <c r="P446" s="182">
        <f>P447+P448+P449</f>
        <v>0</v>
      </c>
    </row>
    <row r="447" spans="1:16" s="200" customFormat="1" ht="18" customHeight="1">
      <c r="A447" s="21"/>
      <c r="B447" s="21" t="s">
        <v>681</v>
      </c>
      <c r="C447" s="283" t="s">
        <v>328</v>
      </c>
      <c r="D447" s="7">
        <v>16664</v>
      </c>
      <c r="E447" s="7">
        <v>16664</v>
      </c>
      <c r="F447" s="7">
        <v>0</v>
      </c>
      <c r="G447" s="7">
        <v>0</v>
      </c>
      <c r="H447" s="18">
        <v>6000</v>
      </c>
      <c r="I447" s="18">
        <v>0</v>
      </c>
      <c r="J447" s="18">
        <v>0</v>
      </c>
      <c r="K447" s="7">
        <v>1500</v>
      </c>
      <c r="L447" s="7">
        <v>0</v>
      </c>
      <c r="M447" s="312">
        <f t="shared" si="67"/>
        <v>0</v>
      </c>
      <c r="N447" s="7">
        <v>0</v>
      </c>
      <c r="O447" s="22">
        <v>0</v>
      </c>
      <c r="P447" s="22">
        <f>L447-N447-O447</f>
        <v>0</v>
      </c>
    </row>
    <row r="448" spans="1:16" s="200" customFormat="1" ht="18.75" customHeight="1">
      <c r="A448" s="21"/>
      <c r="B448" s="21" t="s">
        <v>470</v>
      </c>
      <c r="C448" s="10" t="s">
        <v>483</v>
      </c>
      <c r="D448" s="7"/>
      <c r="E448" s="7"/>
      <c r="F448" s="7"/>
      <c r="G448" s="7"/>
      <c r="H448" s="18"/>
      <c r="I448" s="18"/>
      <c r="J448" s="18"/>
      <c r="K448" s="7">
        <v>1400</v>
      </c>
      <c r="L448" s="7">
        <v>0</v>
      </c>
      <c r="M448" s="312">
        <f t="shared" si="67"/>
        <v>0</v>
      </c>
      <c r="N448" s="7">
        <v>0</v>
      </c>
      <c r="O448" s="22">
        <f>L448</f>
        <v>0</v>
      </c>
      <c r="P448" s="22">
        <v>0</v>
      </c>
    </row>
    <row r="449" spans="1:16" s="200" customFormat="1" ht="19.5" customHeight="1">
      <c r="A449" s="21"/>
      <c r="B449" s="21" t="s">
        <v>629</v>
      </c>
      <c r="C449" s="10" t="s">
        <v>656</v>
      </c>
      <c r="D449" s="7">
        <v>8332</v>
      </c>
      <c r="E449" s="7">
        <v>3107</v>
      </c>
      <c r="F449" s="7">
        <v>0</v>
      </c>
      <c r="G449" s="7">
        <v>325</v>
      </c>
      <c r="H449" s="18">
        <v>832</v>
      </c>
      <c r="I449" s="18">
        <v>0</v>
      </c>
      <c r="J449" s="18">
        <v>0</v>
      </c>
      <c r="K449" s="7">
        <v>600</v>
      </c>
      <c r="L449" s="7">
        <v>0</v>
      </c>
      <c r="M449" s="312">
        <f t="shared" si="67"/>
        <v>0</v>
      </c>
      <c r="N449" s="7">
        <v>0</v>
      </c>
      <c r="O449" s="22">
        <f>L449</f>
        <v>0</v>
      </c>
      <c r="P449" s="22">
        <v>0</v>
      </c>
    </row>
    <row r="450" spans="1:16" s="200" customFormat="1" ht="18" customHeight="1">
      <c r="A450" s="21"/>
      <c r="B450" s="21" t="s">
        <v>635</v>
      </c>
      <c r="C450" s="10" t="s">
        <v>636</v>
      </c>
      <c r="D450" s="7"/>
      <c r="E450" s="7">
        <v>2500</v>
      </c>
      <c r="F450" s="7">
        <v>0</v>
      </c>
      <c r="G450" s="7">
        <v>0</v>
      </c>
      <c r="H450" s="18">
        <v>1800</v>
      </c>
      <c r="I450" s="18">
        <v>0</v>
      </c>
      <c r="J450" s="18">
        <v>0</v>
      </c>
      <c r="K450" s="7">
        <v>400</v>
      </c>
      <c r="L450" s="7">
        <v>0</v>
      </c>
      <c r="M450" s="312">
        <f t="shared" si="67"/>
        <v>0</v>
      </c>
      <c r="N450" s="7">
        <v>0</v>
      </c>
      <c r="O450" s="22">
        <f>L450</f>
        <v>0</v>
      </c>
      <c r="P450" s="22">
        <v>0</v>
      </c>
    </row>
    <row r="451" spans="1:16" s="200" customFormat="1" ht="19.5" customHeight="1">
      <c r="A451" s="215" t="s">
        <v>136</v>
      </c>
      <c r="B451" s="215"/>
      <c r="C451" s="214" t="s">
        <v>692</v>
      </c>
      <c r="D451" s="186"/>
      <c r="E451" s="186">
        <f aca="true" t="shared" si="73" ref="E451:P451">E452</f>
        <v>0</v>
      </c>
      <c r="F451" s="186">
        <f t="shared" si="73"/>
        <v>27582</v>
      </c>
      <c r="G451" s="186">
        <f t="shared" si="73"/>
        <v>0</v>
      </c>
      <c r="H451" s="186">
        <f>H452</f>
        <v>12118</v>
      </c>
      <c r="I451" s="186">
        <f>I452</f>
        <v>0</v>
      </c>
      <c r="J451" s="186">
        <f>J452</f>
        <v>0</v>
      </c>
      <c r="K451" s="186">
        <f>K452</f>
        <v>0</v>
      </c>
      <c r="L451" s="186"/>
      <c r="M451" s="185">
        <v>0</v>
      </c>
      <c r="N451" s="186">
        <f t="shared" si="73"/>
        <v>0</v>
      </c>
      <c r="O451" s="182">
        <f t="shared" si="73"/>
        <v>0</v>
      </c>
      <c r="P451" s="182">
        <f t="shared" si="73"/>
        <v>0</v>
      </c>
    </row>
    <row r="452" spans="1:16" s="200" customFormat="1" ht="26.25" customHeight="1">
      <c r="A452" s="21"/>
      <c r="B452" s="21" t="s">
        <v>641</v>
      </c>
      <c r="C452" s="10" t="s">
        <v>54</v>
      </c>
      <c r="D452" s="7"/>
      <c r="E452" s="7">
        <v>0</v>
      </c>
      <c r="F452" s="7">
        <v>27582</v>
      </c>
      <c r="G452" s="7">
        <v>0</v>
      </c>
      <c r="H452" s="22">
        <v>12118</v>
      </c>
      <c r="I452" s="22">
        <v>0</v>
      </c>
      <c r="J452" s="22">
        <v>0</v>
      </c>
      <c r="K452" s="7">
        <v>0</v>
      </c>
      <c r="L452" s="7">
        <v>0</v>
      </c>
      <c r="M452" s="312">
        <v>0</v>
      </c>
      <c r="N452" s="7">
        <v>0</v>
      </c>
      <c r="O452" s="22">
        <f>L4520</f>
        <v>0</v>
      </c>
      <c r="P452" s="22">
        <v>0</v>
      </c>
    </row>
    <row r="453" spans="1:16" s="200" customFormat="1" ht="28.5" customHeight="1">
      <c r="A453" s="197" t="s">
        <v>137</v>
      </c>
      <c r="B453" s="197"/>
      <c r="C453" s="196" t="s">
        <v>138</v>
      </c>
      <c r="D453" s="191" t="e">
        <f aca="true" t="shared" si="74" ref="D453:J453">D454+D457</f>
        <v>#REF!</v>
      </c>
      <c r="E453" s="191">
        <f t="shared" si="74"/>
        <v>45000</v>
      </c>
      <c r="F453" s="191">
        <f t="shared" si="74"/>
        <v>0</v>
      </c>
      <c r="G453" s="191">
        <f t="shared" si="74"/>
        <v>0</v>
      </c>
      <c r="H453" s="191" t="e">
        <f t="shared" si="74"/>
        <v>#REF!</v>
      </c>
      <c r="I453" s="191" t="e">
        <f t="shared" si="74"/>
        <v>#REF!</v>
      </c>
      <c r="J453" s="191" t="e">
        <f t="shared" si="74"/>
        <v>#REF!</v>
      </c>
      <c r="K453" s="191">
        <f aca="true" t="shared" si="75" ref="K453:P453">K454+K457</f>
        <v>105100</v>
      </c>
      <c r="L453" s="191">
        <f t="shared" si="75"/>
        <v>8977</v>
      </c>
      <c r="M453" s="405">
        <f t="shared" si="67"/>
        <v>0.08541389153187441</v>
      </c>
      <c r="N453" s="191">
        <f t="shared" si="75"/>
        <v>0</v>
      </c>
      <c r="O453" s="191">
        <f t="shared" si="75"/>
        <v>727</v>
      </c>
      <c r="P453" s="191">
        <f t="shared" si="75"/>
        <v>8250</v>
      </c>
    </row>
    <row r="454" spans="1:16" s="200" customFormat="1" ht="18" customHeight="1">
      <c r="A454" s="215" t="s">
        <v>139</v>
      </c>
      <c r="B454" s="215"/>
      <c r="C454" s="214" t="s">
        <v>140</v>
      </c>
      <c r="D454" s="186">
        <f aca="true" t="shared" si="76" ref="D454:J454">D455</f>
        <v>0</v>
      </c>
      <c r="E454" s="186">
        <f t="shared" si="76"/>
        <v>30000</v>
      </c>
      <c r="F454" s="186">
        <f t="shared" si="76"/>
        <v>0</v>
      </c>
      <c r="G454" s="186">
        <f t="shared" si="76"/>
        <v>0</v>
      </c>
      <c r="H454" s="186">
        <f t="shared" si="76"/>
        <v>30000</v>
      </c>
      <c r="I454" s="186">
        <f t="shared" si="76"/>
        <v>0</v>
      </c>
      <c r="J454" s="186">
        <f t="shared" si="76"/>
        <v>0</v>
      </c>
      <c r="K454" s="186">
        <f>K455+K456</f>
        <v>98000</v>
      </c>
      <c r="L454" s="186">
        <f>L455+L456</f>
        <v>8250</v>
      </c>
      <c r="M454" s="185">
        <f t="shared" si="67"/>
        <v>0.08418367346938775</v>
      </c>
      <c r="N454" s="186">
        <f>N455</f>
        <v>0</v>
      </c>
      <c r="O454" s="182">
        <f>O455+O456</f>
        <v>0</v>
      </c>
      <c r="P454" s="182">
        <f>P455</f>
        <v>8250</v>
      </c>
    </row>
    <row r="455" spans="1:16" s="200" customFormat="1" ht="22.5" customHeight="1">
      <c r="A455" s="21"/>
      <c r="B455" s="21" t="s">
        <v>681</v>
      </c>
      <c r="C455" s="10" t="s">
        <v>141</v>
      </c>
      <c r="D455" s="7">
        <v>0</v>
      </c>
      <c r="E455" s="7">
        <v>30000</v>
      </c>
      <c r="F455" s="7">
        <v>0</v>
      </c>
      <c r="G455" s="7">
        <v>0</v>
      </c>
      <c r="H455" s="7">
        <v>30000</v>
      </c>
      <c r="I455" s="7">
        <v>0</v>
      </c>
      <c r="J455" s="7">
        <v>0</v>
      </c>
      <c r="K455" s="7">
        <v>33000</v>
      </c>
      <c r="L455" s="7">
        <v>8250</v>
      </c>
      <c r="M455" s="312">
        <f t="shared" si="67"/>
        <v>0.25</v>
      </c>
      <c r="N455" s="7">
        <v>0</v>
      </c>
      <c r="O455" s="22">
        <v>0</v>
      </c>
      <c r="P455" s="22">
        <f>L455-N455-O455</f>
        <v>8250</v>
      </c>
    </row>
    <row r="456" spans="1:16" s="200" customFormat="1" ht="24" customHeight="1">
      <c r="A456" s="21"/>
      <c r="B456" s="21" t="s">
        <v>659</v>
      </c>
      <c r="C456" s="10" t="s">
        <v>424</v>
      </c>
      <c r="D456" s="7"/>
      <c r="E456" s="7"/>
      <c r="F456" s="7"/>
      <c r="G456" s="7"/>
      <c r="H456" s="7"/>
      <c r="I456" s="7"/>
      <c r="J456" s="7"/>
      <c r="K456" s="7">
        <v>65000</v>
      </c>
      <c r="L456" s="7">
        <v>0</v>
      </c>
      <c r="M456" s="312">
        <f t="shared" si="67"/>
        <v>0</v>
      </c>
      <c r="N456" s="7">
        <v>0</v>
      </c>
      <c r="O456" s="22">
        <f>L456</f>
        <v>0</v>
      </c>
      <c r="P456" s="22">
        <v>0</v>
      </c>
    </row>
    <row r="457" spans="1:16" s="200" customFormat="1" ht="15" customHeight="1">
      <c r="A457" s="215" t="s">
        <v>142</v>
      </c>
      <c r="B457" s="354"/>
      <c r="C457" s="214" t="s">
        <v>692</v>
      </c>
      <c r="D457" s="186" t="e">
        <f>#REF!</f>
        <v>#REF!</v>
      </c>
      <c r="E457" s="186">
        <f>E460+E461+E458</f>
        <v>15000</v>
      </c>
      <c r="F457" s="186">
        <f>F460+F461+F458</f>
        <v>0</v>
      </c>
      <c r="G457" s="186">
        <f>G460+G461+G458</f>
        <v>0</v>
      </c>
      <c r="H457" s="186" t="e">
        <f>H460+H461+#REF!</f>
        <v>#REF!</v>
      </c>
      <c r="I457" s="186" t="e">
        <f>I460+I461+#REF!</f>
        <v>#REF!</v>
      </c>
      <c r="J457" s="186" t="e">
        <f>J460+J461+#REF!</f>
        <v>#REF!</v>
      </c>
      <c r="K457" s="186">
        <f aca="true" t="shared" si="77" ref="K457:P457">SUM(K460:K461)</f>
        <v>7100</v>
      </c>
      <c r="L457" s="186">
        <f t="shared" si="77"/>
        <v>727</v>
      </c>
      <c r="M457" s="185">
        <f t="shared" si="67"/>
        <v>0.1023943661971831</v>
      </c>
      <c r="N457" s="186">
        <f t="shared" si="77"/>
        <v>0</v>
      </c>
      <c r="O457" s="186">
        <f t="shared" si="77"/>
        <v>727</v>
      </c>
      <c r="P457" s="186">
        <f t="shared" si="77"/>
        <v>0</v>
      </c>
    </row>
    <row r="458" spans="1:16" s="200" customFormat="1" ht="14.25" customHeight="1" hidden="1">
      <c r="A458" s="24"/>
      <c r="B458" s="21"/>
      <c r="C458" s="27" t="s">
        <v>666</v>
      </c>
      <c r="D458" s="18"/>
      <c r="E458" s="18">
        <v>240</v>
      </c>
      <c r="F458" s="18">
        <v>0</v>
      </c>
      <c r="G458" s="18">
        <v>0</v>
      </c>
      <c r="H458" s="7"/>
      <c r="I458" s="7"/>
      <c r="J458" s="7"/>
      <c r="K458" s="7"/>
      <c r="L458" s="7"/>
      <c r="M458" s="406" t="e">
        <f t="shared" si="67"/>
        <v>#DIV/0!</v>
      </c>
      <c r="N458" s="18">
        <v>0</v>
      </c>
      <c r="O458" s="19">
        <f>H458</f>
        <v>0</v>
      </c>
      <c r="P458" s="19">
        <v>0</v>
      </c>
    </row>
    <row r="459" spans="1:16" s="200" customFormat="1" ht="28.5" customHeight="1" hidden="1">
      <c r="A459" s="24"/>
      <c r="B459" s="21" t="s">
        <v>681</v>
      </c>
      <c r="C459" s="10" t="s">
        <v>135</v>
      </c>
      <c r="D459" s="18"/>
      <c r="E459" s="18"/>
      <c r="F459" s="18"/>
      <c r="G459" s="18"/>
      <c r="H459" s="7">
        <v>0</v>
      </c>
      <c r="I459" s="7">
        <v>0</v>
      </c>
      <c r="J459" s="7">
        <v>0</v>
      </c>
      <c r="K459" s="7"/>
      <c r="L459" s="7"/>
      <c r="M459" s="406" t="e">
        <f t="shared" si="67"/>
        <v>#DIV/0!</v>
      </c>
      <c r="N459" s="18">
        <v>0</v>
      </c>
      <c r="O459" s="19">
        <v>0</v>
      </c>
      <c r="P459" s="19">
        <v>0</v>
      </c>
    </row>
    <row r="460" spans="1:16" s="200" customFormat="1" ht="19.5" customHeight="1">
      <c r="A460" s="24"/>
      <c r="B460" s="21" t="s">
        <v>629</v>
      </c>
      <c r="C460" s="27" t="s">
        <v>656</v>
      </c>
      <c r="D460" s="18"/>
      <c r="E460" s="18">
        <v>10760</v>
      </c>
      <c r="F460" s="18">
        <v>0</v>
      </c>
      <c r="G460" s="18">
        <v>0</v>
      </c>
      <c r="H460" s="7">
        <v>3570</v>
      </c>
      <c r="I460" s="7">
        <v>0</v>
      </c>
      <c r="J460" s="7">
        <v>0</v>
      </c>
      <c r="K460" s="7">
        <v>5300</v>
      </c>
      <c r="L460" s="7">
        <v>727</v>
      </c>
      <c r="M460" s="312">
        <f t="shared" si="67"/>
        <v>0.1371698113207547</v>
      </c>
      <c r="N460" s="18">
        <v>0</v>
      </c>
      <c r="O460" s="19">
        <f>L460</f>
        <v>727</v>
      </c>
      <c r="P460" s="19">
        <v>0</v>
      </c>
    </row>
    <row r="461" spans="1:16" s="200" customFormat="1" ht="16.5" customHeight="1">
      <c r="A461" s="24"/>
      <c r="B461" s="21" t="s">
        <v>635</v>
      </c>
      <c r="C461" s="27" t="s">
        <v>636</v>
      </c>
      <c r="D461" s="18"/>
      <c r="E461" s="18">
        <v>4000</v>
      </c>
      <c r="F461" s="18">
        <v>0</v>
      </c>
      <c r="G461" s="18">
        <v>0</v>
      </c>
      <c r="H461" s="7">
        <v>1480</v>
      </c>
      <c r="I461" s="7">
        <v>0</v>
      </c>
      <c r="J461" s="7">
        <v>0</v>
      </c>
      <c r="K461" s="7">
        <v>1800</v>
      </c>
      <c r="L461" s="7">
        <v>0</v>
      </c>
      <c r="M461" s="312">
        <f t="shared" si="67"/>
        <v>0</v>
      </c>
      <c r="N461" s="18">
        <v>0</v>
      </c>
      <c r="O461" s="19">
        <f>L461</f>
        <v>0</v>
      </c>
      <c r="P461" s="19">
        <v>0</v>
      </c>
    </row>
    <row r="462" spans="1:16" s="200" customFormat="1" ht="20.25" customHeight="1">
      <c r="A462" s="190" t="s">
        <v>143</v>
      </c>
      <c r="B462" s="190"/>
      <c r="C462" s="196" t="s">
        <v>144</v>
      </c>
      <c r="D462" s="191" t="e">
        <f>D463+D465</f>
        <v>#REF!</v>
      </c>
      <c r="E462" s="191" t="e">
        <f>E463+E465</f>
        <v>#REF!</v>
      </c>
      <c r="F462" s="191" t="e">
        <f aca="true" t="shared" si="78" ref="F462:K462">F465</f>
        <v>#REF!</v>
      </c>
      <c r="G462" s="191" t="e">
        <f t="shared" si="78"/>
        <v>#REF!</v>
      </c>
      <c r="H462" s="191">
        <f t="shared" si="78"/>
        <v>16000</v>
      </c>
      <c r="I462" s="191">
        <f t="shared" si="78"/>
        <v>0</v>
      </c>
      <c r="J462" s="191">
        <f t="shared" si="78"/>
        <v>0</v>
      </c>
      <c r="K462" s="191">
        <f t="shared" si="78"/>
        <v>16000</v>
      </c>
      <c r="L462" s="191">
        <f>L465</f>
        <v>0</v>
      </c>
      <c r="M462" s="405">
        <f t="shared" si="67"/>
        <v>0</v>
      </c>
      <c r="N462" s="191">
        <f>N465</f>
        <v>0</v>
      </c>
      <c r="O462" s="193">
        <f>O465</f>
        <v>0</v>
      </c>
      <c r="P462" s="193">
        <f>P465</f>
        <v>0</v>
      </c>
    </row>
    <row r="463" spans="1:16" s="200" customFormat="1" ht="18" customHeight="1" hidden="1">
      <c r="A463" s="15" t="s">
        <v>145</v>
      </c>
      <c r="B463" s="26"/>
      <c r="C463" s="3" t="s">
        <v>146</v>
      </c>
      <c r="D463" s="6">
        <f>D464</f>
        <v>0</v>
      </c>
      <c r="E463" s="6">
        <f>E464</f>
        <v>0</v>
      </c>
      <c r="F463" s="6"/>
      <c r="G463" s="6"/>
      <c r="H463" s="6"/>
      <c r="I463" s="6"/>
      <c r="J463" s="6"/>
      <c r="K463" s="6"/>
      <c r="L463" s="6"/>
      <c r="M463" s="406" t="e">
        <f t="shared" si="67"/>
        <v>#DIV/0!</v>
      </c>
      <c r="N463" s="6"/>
      <c r="O463" s="17"/>
      <c r="P463" s="17"/>
    </row>
    <row r="464" spans="1:16" s="200" customFormat="1" ht="14.25" customHeight="1" hidden="1">
      <c r="A464" s="21"/>
      <c r="B464" s="26" t="s">
        <v>659</v>
      </c>
      <c r="C464" s="10" t="s">
        <v>147</v>
      </c>
      <c r="D464" s="7">
        <v>0</v>
      </c>
      <c r="E464" s="7">
        <v>0</v>
      </c>
      <c r="F464" s="7"/>
      <c r="G464" s="7"/>
      <c r="H464" s="7"/>
      <c r="I464" s="7"/>
      <c r="J464" s="7"/>
      <c r="K464" s="7"/>
      <c r="L464" s="7"/>
      <c r="M464" s="406" t="e">
        <f t="shared" si="67"/>
        <v>#DIV/0!</v>
      </c>
      <c r="N464" s="7"/>
      <c r="O464" s="22"/>
      <c r="P464" s="22"/>
    </row>
    <row r="465" spans="1:16" s="200" customFormat="1" ht="25.5" customHeight="1">
      <c r="A465" s="215" t="s">
        <v>148</v>
      </c>
      <c r="B465" s="213"/>
      <c r="C465" s="214" t="s">
        <v>692</v>
      </c>
      <c r="D465" s="186" t="e">
        <f>#REF!</f>
        <v>#REF!</v>
      </c>
      <c r="E465" s="186" t="e">
        <f>#REF!+E466</f>
        <v>#REF!</v>
      </c>
      <c r="F465" s="186" t="e">
        <f>#REF!+F466</f>
        <v>#REF!</v>
      </c>
      <c r="G465" s="186" t="e">
        <f>#REF!+G466</f>
        <v>#REF!</v>
      </c>
      <c r="H465" s="186">
        <f aca="true" t="shared" si="79" ref="H465:P465">H466</f>
        <v>16000</v>
      </c>
      <c r="I465" s="186">
        <f t="shared" si="79"/>
        <v>0</v>
      </c>
      <c r="J465" s="186">
        <f t="shared" si="79"/>
        <v>0</v>
      </c>
      <c r="K465" s="186">
        <f>K466</f>
        <v>16000</v>
      </c>
      <c r="L465" s="186">
        <f>L466</f>
        <v>0</v>
      </c>
      <c r="M465" s="185">
        <f t="shared" si="67"/>
        <v>0</v>
      </c>
      <c r="N465" s="186">
        <f t="shared" si="79"/>
        <v>0</v>
      </c>
      <c r="O465" s="186">
        <f t="shared" si="79"/>
        <v>0</v>
      </c>
      <c r="P465" s="186">
        <f t="shared" si="79"/>
        <v>0</v>
      </c>
    </row>
    <row r="466" spans="1:16" s="200" customFormat="1" ht="38.25" customHeight="1">
      <c r="A466" s="24"/>
      <c r="B466" s="28" t="s">
        <v>121</v>
      </c>
      <c r="C466" s="27" t="s">
        <v>55</v>
      </c>
      <c r="D466" s="18"/>
      <c r="E466" s="18">
        <v>14200</v>
      </c>
      <c r="F466" s="18">
        <v>0</v>
      </c>
      <c r="G466" s="18">
        <v>0</v>
      </c>
      <c r="H466" s="18">
        <v>16000</v>
      </c>
      <c r="I466" s="18">
        <v>0</v>
      </c>
      <c r="J466" s="18">
        <v>0</v>
      </c>
      <c r="K466" s="7">
        <v>16000</v>
      </c>
      <c r="L466" s="7">
        <v>0</v>
      </c>
      <c r="M466" s="312">
        <f>L466/K466</f>
        <v>0</v>
      </c>
      <c r="N466" s="18">
        <v>0</v>
      </c>
      <c r="O466" s="19">
        <f>L466</f>
        <v>0</v>
      </c>
      <c r="P466" s="19">
        <v>0</v>
      </c>
    </row>
    <row r="467" spans="1:16" s="200" customFormat="1" ht="24" customHeight="1">
      <c r="A467" s="201"/>
      <c r="B467" s="202"/>
      <c r="C467" s="203" t="s">
        <v>149</v>
      </c>
      <c r="D467" s="204" t="e">
        <f>D9+D31+D36+D58+D68+D85+D142+D168+D174+D178+D287+D301+D391+D453+D462</f>
        <v>#REF!</v>
      </c>
      <c r="E467" s="204" t="e">
        <f>E9+E31+E36+E58+E68+E85+E142+E168+E174+E178+E287+E301+E391+E453+E462</f>
        <v>#REF!</v>
      </c>
      <c r="F467" s="204" t="e">
        <f>F462+F453+F391+F301+F287+F178+F174+F168+F142+F85+F68+F58+F36+F31+F9</f>
        <v>#REF!</v>
      </c>
      <c r="G467" s="204" t="e">
        <f>G462+G453+G391+G301+G287+G178+G174+G168+G142+G85+G68+G58+G36+G31+G9</f>
        <v>#REF!</v>
      </c>
      <c r="H467" s="204" t="e">
        <f>H462+H453+H391+H301+H287+H178+H174+H168+H142+#REF!+H85+H68+H58+H36+H31+H9+#REF!</f>
        <v>#REF!</v>
      </c>
      <c r="I467" s="204" t="e">
        <f>I462+I453+I391+I301+I287+I178+I174+I168+I142+#REF!+I85+I68+I58+I36+I31+I9+#REF!</f>
        <v>#REF!</v>
      </c>
      <c r="J467" s="204" t="e">
        <f>J462+J453+J391+J301+J287+J178+J174+J168+J142+#REF!+J85+J68+J58+J36+J31+J9+#REF!</f>
        <v>#REF!</v>
      </c>
      <c r="K467" s="204">
        <f>K9+K31+K36+K58+K68+K85+K142+K168+K174+K178+K277+K287+K301+K369+K391+K453+K462</f>
        <v>32608275</v>
      </c>
      <c r="L467" s="204">
        <f>L9+L31+L36+L58+L68+L85+L142+L168+L174+L178+L277+L287+L301+L369+L391+L453+L462</f>
        <v>7212349</v>
      </c>
      <c r="M467" s="225">
        <f aca="true" t="shared" si="80" ref="M467:M475">L467/K467</f>
        <v>0.2211815559087379</v>
      </c>
      <c r="N467" s="204">
        <f>N9+N31+N36+N58+N68+N85+N142+N168+N174+N178+N277+N287+N301+N369+N391+N453+N462</f>
        <v>705827</v>
      </c>
      <c r="O467" s="204">
        <f>O9+O31+O36+O58+O68+O85+O142+O168+O174+O178+O277+O287+O301+O369+O391+O453+O462</f>
        <v>6408577</v>
      </c>
      <c r="P467" s="204">
        <f>P9+P31+P36+P58+P68+P85+P142+P168+P174+P178+P277+P287+P301+P369+P391+P453+P462</f>
        <v>98745</v>
      </c>
    </row>
    <row r="468" spans="1:16" s="200" customFormat="1" ht="17.25" customHeight="1">
      <c r="A468" s="7"/>
      <c r="B468" s="491" t="s">
        <v>150</v>
      </c>
      <c r="C468" s="491"/>
      <c r="D468" s="2" t="s">
        <v>151</v>
      </c>
      <c r="E468" s="2" t="s">
        <v>151</v>
      </c>
      <c r="F468" s="2" t="s">
        <v>151</v>
      </c>
      <c r="G468" s="2" t="s">
        <v>151</v>
      </c>
      <c r="H468" s="2"/>
      <c r="I468" s="2"/>
      <c r="J468" s="2"/>
      <c r="K468" s="2"/>
      <c r="L468" s="2"/>
      <c r="M468" s="406"/>
      <c r="N468" s="2"/>
      <c r="O468" s="2"/>
      <c r="P468" s="2"/>
    </row>
    <row r="469" spans="1:16" s="200" customFormat="1" ht="20.25" customHeight="1">
      <c r="A469" s="35"/>
      <c r="B469" s="484" t="s">
        <v>152</v>
      </c>
      <c r="C469" s="485"/>
      <c r="D469" s="485"/>
      <c r="E469" s="356" t="e">
        <f aca="true" t="shared" si="81" ref="E469:J469">E467-E474</f>
        <v>#REF!</v>
      </c>
      <c r="F469" s="356" t="e">
        <f t="shared" si="81"/>
        <v>#REF!</v>
      </c>
      <c r="G469" s="356" t="e">
        <f t="shared" si="81"/>
        <v>#REF!</v>
      </c>
      <c r="H469" s="356" t="e">
        <f t="shared" si="81"/>
        <v>#REF!</v>
      </c>
      <c r="I469" s="356" t="e">
        <f t="shared" si="81"/>
        <v>#REF!</v>
      </c>
      <c r="J469" s="356" t="e">
        <f t="shared" si="81"/>
        <v>#REF!</v>
      </c>
      <c r="K469" s="356">
        <f aca="true" t="shared" si="82" ref="K469:P469">K467-K474</f>
        <v>25767865</v>
      </c>
      <c r="L469" s="356">
        <f t="shared" si="82"/>
        <v>6791063</v>
      </c>
      <c r="M469" s="410">
        <f t="shared" si="80"/>
        <v>0.2635477560907743</v>
      </c>
      <c r="N469" s="356">
        <f t="shared" si="82"/>
        <v>705827</v>
      </c>
      <c r="O469" s="356">
        <f t="shared" si="82"/>
        <v>5987291</v>
      </c>
      <c r="P469" s="356">
        <f t="shared" si="82"/>
        <v>98745</v>
      </c>
    </row>
    <row r="470" spans="1:16" s="200" customFormat="1" ht="20.25" customHeight="1">
      <c r="A470" s="35"/>
      <c r="B470" s="444" t="s">
        <v>153</v>
      </c>
      <c r="C470" s="445"/>
      <c r="D470" s="445"/>
      <c r="E470" s="7" t="e">
        <f>E13+E15+E40+E41+E74+E76+E87+E88+E107+E108+#REF!+#REF!+#REF!+#REF!+#REF!+#REF!+E180+E181+E194+E195+E206+E207+#REF!+#REF!+E234+E235+#REF!+#REF!+E255+E256+#REF!+#REF!+E305+E306+E321+E322+E342+E343+E371+E379+E380+E394+E395+E408+E409+E423+E424+E14+E145+E146+E147+E148+E149+#REF!+#REF!+#REF!</f>
        <v>#REF!</v>
      </c>
      <c r="F470" s="7" t="e">
        <f>F13+F15+F40+F41+F74+F76+F87+F88+F107+F108+#REF!+#REF!+#REF!+#REF!+#REF!+#REF!+F180+F181+F194+F195+F206+F207+#REF!+#REF!+F234+F235+#REF!+#REF!+F255+F256+#REF!+#REF!+F305+F306+F321+F322+F342+F343+F371+F379+F380+F394+F395+F408+F409+F423+F424+F14+F145+F146+F147+F148+F149+#REF!+#REF!+#REF!</f>
        <v>#REF!</v>
      </c>
      <c r="G470" s="7" t="e">
        <f>G13+G15+G40+G41+G74+G76+G87+G88+G107+G108+#REF!+#REF!+#REF!+#REF!+#REF!+#REF!+G180+G181+G194+G195+G206+G207+#REF!+#REF!+G234+G235+#REF!+#REF!+G255+G256+#REF!+#REF!+G305+G306+G321+G322+G342+G343+G371+G379+G380+G394+G395+G408+G409+G423+G424+G14+G145+G146+G147+G148+G149+#REF!+#REF!+#REF!</f>
        <v>#REF!</v>
      </c>
      <c r="H470" s="7" t="e">
        <f>H13+H14+H15+H40+H41+H74+H75+H76+H87+H88+H107+H108+#REF!+#REF!+#REF!+#REF!+#REF!+#REF!+#REF!+H145+H146+H147+H148+H149+#REF!++H180+H181+H194+H195+H206+H207+H234+H235+#REF!+H255+H256+H305+H306+H321+H322+H342+H343+H371+H372+#REF!+#REF!+H379+H380+H394+H395+H408+H409+H423+H424+H270+H224</f>
        <v>#REF!</v>
      </c>
      <c r="I470" s="7" t="e">
        <f>I13+I14+I15+I40+I41+I74+I75+I76+I87+I88+I107+I108+#REF!+#REF!+#REF!+#REF!+#REF!+#REF!+#REF!+I145+I146+I147+I148+I149+#REF!++I180+I181+I194+I195+I206+I207+I234+I235+#REF!+I255+I256+I305+I306+I321+I322+I342+I343+I371+I372+#REF!+#REF!+I379+I380+I394+I395+I408+I409+I423+I424+I270+I224</f>
        <v>#REF!</v>
      </c>
      <c r="J470" s="7" t="e">
        <f>J13+J14+J15+J40+J41+J74+J75+J76+J87+J88+J107+J108+#REF!+#REF!+#REF!+#REF!+#REF!+#REF!+#REF!+J145+J146+J147+J148+J149+#REF!++J180+J181+J194+J195+J206+J207+J234+J235+#REF!+J255+J256+J305+J306+J321+J322+J342+J343+J371+J372+#REF!+#REF!+J379+J380+J394+J395+J408+J409+J423+J424+J270+J224</f>
        <v>#REF!</v>
      </c>
      <c r="K470" s="7">
        <f>K40+K41+K44+K60+K74+K75+K76+K87+K88+K91+K107+K108+K111+K128+K134+K138+K145+K146+K147+K148+K149+K180+K181+K184+K194+K195+K206+K207+K212+K224+K225+K234+K235+K239+K255+K256+K265+K270+K273+K281+K282+K294+K305+K306+K309+K321+K322+K342+K343+K346+K355+K371+K372+K379+K380+K383+K394+K395+K408+K409+K412+K423+K424+K427+K440+K441+K448</f>
        <v>13481630</v>
      </c>
      <c r="L470" s="7">
        <f>L40+L41+L44+L60+L74+L75+L76+L87+L88+L91+L107+L108+L111+L128+L134+L138+L145+L146+L147+L148+L149+L180+L181+L184+L194+L195+L206+L207+L212+L224+L225+L234+L235+L239+L255+L256+L265+L270+L273+L281+L282+L294+L305+L306+L309+L321+L322+L342+L343+L346+L355+L371+L372+L379+L380+L383+L394+L395+L408+L409+L412+L423+L424+L427+L440+L441+L448</f>
        <v>3723035</v>
      </c>
      <c r="M470" s="312">
        <f t="shared" si="80"/>
        <v>0.27615614729079496</v>
      </c>
      <c r="N470" s="7">
        <f>N60+N74+N75+N76+N87+N88+N91+N128+N145+N146+N147+N148+N149</f>
        <v>464595</v>
      </c>
      <c r="O470" s="7">
        <f>O40+O41+O44+O107+O108+O111+O134+O138+O180+O181+O184+O194+O195+O206+O207+O212+O224+O225+O234+O235+O239+O255+O256+O265+O270+O273+O281+O282+O294+O305+O306+O309+O321+O322+O342+O343+O346+O355+O371+O372+O379+O380+O383+O394+O395+O408+O409+O412+O423+O424+O427+O440+O441+O448</f>
        <v>3258440</v>
      </c>
      <c r="P470" s="7">
        <f>P40+P41+P44+P74+P75+P76+P87+P88+P91+P107+P108+P110+P128+P134+P138+P145+P146+P147+P148+P149+P180+P181+P184+P194+P195+P206+P207+P212+P224+P225+P234+P235+P239+P255+P256+P265+P270+P273+P281+P282+P294+P305+P306+P321+P322+P342+P343+P346+P355+P371+P372+P379+P380+P383+P394+P395+P408+P409+P412+P423+P424+P427+P440+P441+P448</f>
        <v>0</v>
      </c>
    </row>
    <row r="471" spans="1:16" s="200" customFormat="1" ht="18.75" customHeight="1">
      <c r="A471" s="35"/>
      <c r="B471" s="444" t="s">
        <v>154</v>
      </c>
      <c r="C471" s="445"/>
      <c r="D471" s="445"/>
      <c r="E471" s="7" t="e">
        <f>E16+E17+E42+E43+E77+E78+E89+E90+E109+E111+E126+E127+#REF!+#REF!+E150+E151+E182+E183+E196+E197+E208+E209+E236+E237+#REF!+#REF!+#REF!+#REF!+E257+E258+#REF!+#REF!+E307+E308+E323+E324+E344+E345+E373+E374+E381+E382+E396+E397+E410+E411+E425+E426+E266+#REF!+#REF!+#REF!+#REF!+#REF!</f>
        <v>#REF!</v>
      </c>
      <c r="F471" s="7" t="e">
        <f>F16+F17+F42+F43+F77+F78+F89+F90+F109+F111+F126+F127+#REF!+#REF!+F150+F151+F182+F183+F196+F197+F208+F209+F236+F237+#REF!+#REF!+#REF!+#REF!+F257+F258+#REF!+#REF!+F307+F308+F323+F324+F344+F345+F373+F374+F381+F382+F396+F397+F410+F411+F425+F426+F266+#REF!+#REF!+#REF!+#REF!+#REF!</f>
        <v>#REF!</v>
      </c>
      <c r="G471" s="7" t="e">
        <f>G16+G17+G42+G43+G77+G78+G89+G90+G109+G111+G126+G127+#REF!+#REF!+G150+G151+G182+G183+G196+G197+G208+G209+G236+G237+#REF!+#REF!+#REF!+#REF!+G257+G258+#REF!+#REF!+G307+G308+G323+G324+G344+G345+G373+G374+G381+G382+G396+G397+G410+G411+G425+G426+G266+#REF!+#REF!+#REF!+#REF!+#REF!</f>
        <v>#REF!</v>
      </c>
      <c r="H471" s="7" t="e">
        <f>H16+H17+H42+H43+H77+H78+H89+H90+H109+H111+H126+H127+#REF!+#REF!+H150+H151+H182+H183+H196+H197+H208+H209+H236+H237+#REF!+#REF!+H257+H258+H307+H308+H323+H324+H344+H345+H373+H374+#REF!+#REF!+H381+H382+H396+H397+H410+H411+H425+H426+#REF!+#REF!+H271+H272+H226+H227</f>
        <v>#REF!</v>
      </c>
      <c r="I471" s="7" t="e">
        <f>I16+I17+I42+I43+I77+I78+I89+I90+I109+I111+I126+I127+#REF!+#REF!+I150+I151+I182+I183+I196+I197+I208+I209+I236+I237+#REF!+#REF!+I257+I258+I307+I308+I323+I324+I344+I345+I373+I374+#REF!+#REF!+I381+I382+I396+I397+I410+I411+I425+I426+#REF!+#REF!+I271+I272+I226+I227</f>
        <v>#REF!</v>
      </c>
      <c r="J471" s="7" t="e">
        <f>J16+J17+J42+J43+J77+J78+J89+J90+J109+J111+J126+J127+#REF!+#REF!+J150+J151+J182+J183+J196+J197+J208+J209+J236+J237+#REF!+#REF!+J257+J258+J307+J308+J323+J324+J344+J345+J373+J374+#REF!+#REF!+J381+J382+J396+J397+J410+J411+J425+J426+#REF!+#REF!+J271+J272+J226+J227</f>
        <v>#REF!</v>
      </c>
      <c r="K471" s="7">
        <f>K42+K43+K77+K78+K89+K90+K109+K110+K126+K127+K150+K151+K182+K183+K196+K197+K208+K209+K226+K227+K236+K237+K257+K258+K271+K272+K295+K296+K307+K308+K323+K324+K344+K345+K356+K357+K373+K374+K381+K382+K396+K397+K410+K411+K425+K426</f>
        <v>2219630</v>
      </c>
      <c r="L471" s="7">
        <f>L42+L43+L77+L78+L89+L90+L109+L110+L111+L126+L127+L150+L151+L182+L183+L196+L197+L208+L209+L226+L227+L236+L237+L257+L258+L271+L272+L295+L296+L307+L308+L323+L324+L344+L345+L356+L357+L373+L374+L381+L382+L396+L397+L410+L411+L425+L426</f>
        <v>655366</v>
      </c>
      <c r="M471" s="312">
        <f t="shared" si="80"/>
        <v>0.2952591197632038</v>
      </c>
      <c r="N471" s="7">
        <f>N77+N78+N89+N90+N126+N127+N150+N151</f>
        <v>13905</v>
      </c>
      <c r="O471" s="7">
        <f>O42+O43+O109+O110+O182+O183+O196+O197+O208+O209+O226+O227+O236+O237+O257+O258+O271+O272+O295+O296+O307+O308+O323+O324+O344+O345+O356+O357+O373+O374+O381+O382+O396+O397+O410+O411+O425+O426</f>
        <v>641461</v>
      </c>
      <c r="P471" s="7">
        <f>P42+P43+P77+P78+P89+P90+P109+P111+P126+P127+P150+P151+P182+P183+P196+P197+P208+P209+P226+P227+P236+P237+P257+P258+P271+P272+P295+P296+P307+P308+P323+P324+P344+P345+P356+P357+P373+P374+P381+P382+P396+P397+P410+P411+P425+P426</f>
        <v>0</v>
      </c>
    </row>
    <row r="472" spans="1:16" s="200" customFormat="1" ht="25.5" customHeight="1">
      <c r="A472" s="35"/>
      <c r="B472" s="446" t="s">
        <v>587</v>
      </c>
      <c r="C472" s="437"/>
      <c r="D472" s="437"/>
      <c r="E472" s="7" t="e">
        <f>E120+E220+E251+#REF!+#REF!+#REF!+E268+E447+E455+#REF!+#REF!+#REF!+#REF!+#REF!+E289</f>
        <v>#REF!</v>
      </c>
      <c r="F472" s="7" t="e">
        <f>F120+F220+F251+#REF!+#REF!+#REF!+#REF!+F447+F455+F267+#REF!+#REF!+#REF!+#REF!+#REF!+F289</f>
        <v>#REF!</v>
      </c>
      <c r="G472" s="7" t="e">
        <f>G120+G220+G251+#REF!+#REF!+#REF!+#REF!+G447+G455+G267+#REF!+#REF!+#REF!+#REF!+#REF!+G289</f>
        <v>#REF!</v>
      </c>
      <c r="H472" s="7" t="e">
        <f>H190+H203+H220+H251+#REF!+H268+#REF!+#REF!+#REF!+H447+H455+H466+H93+#REF!+H459+#REF!+H191+#REF!+#REF!+H38+H289+#REF!+H30+#REF!</f>
        <v>#REF!</v>
      </c>
      <c r="I472" s="7" t="e">
        <f>I190+I203+I220+I251+#REF!+I268+#REF!+#REF!+#REF!+I447+I455+I466+I93+#REF!+I459+#REF!+I191+#REF!+#REF!+I38+I289+#REF!+I30+#REF!</f>
        <v>#REF!</v>
      </c>
      <c r="J472" s="7" t="e">
        <f>J190+J203+J220+J251+#REF!+J268+#REF!+#REF!+#REF!+J447+J455+J466+J93+#REF!+J459+#REF!+J191+#REF!+#REF!+J38+J289+#REF!+J30+#REF!</f>
        <v>#REF!</v>
      </c>
      <c r="K472" s="97">
        <f>K30+K38+K97+K122+K133+K190+K192+K203+K220+K251+K263+K268+K289+K319+K337+K338+K447+K455+K466</f>
        <v>1770016</v>
      </c>
      <c r="L472" s="97">
        <f>L30+L38+L97+L122+L133+L190+L192+L203+L220+L251+L263+L268+L289+L319+L337+L338+L447+L455+L466</f>
        <v>431492</v>
      </c>
      <c r="M472" s="312">
        <f t="shared" si="80"/>
        <v>0.2437785873122051</v>
      </c>
      <c r="N472" s="97">
        <f>N30+N38+N97+N122+N133+N190+N192+N203+N220+N251+N268+N289+N319+N337+N338+N447+N455+N466</f>
        <v>0</v>
      </c>
      <c r="O472" s="97">
        <f>O30+O38+O97+O122+O133+O190+O192+O203+O220+O251+O263+O289+O319+O337+O338+O447+O455+O466</f>
        <v>332747</v>
      </c>
      <c r="P472" s="97">
        <f>P30+P38+P97+P122+P190+P192+P203+P220+P251+P268+P289+P319+P337+P338+P371+P447+P455+P466</f>
        <v>98745</v>
      </c>
    </row>
    <row r="473" spans="1:16" s="200" customFormat="1" ht="15.75" customHeight="1">
      <c r="A473" s="35"/>
      <c r="B473" s="446" t="s">
        <v>189</v>
      </c>
      <c r="C473" s="437"/>
      <c r="D473" s="437"/>
      <c r="E473" s="7" t="e">
        <f aca="true" t="shared" si="83" ref="E473:P473">E168</f>
        <v>#REF!</v>
      </c>
      <c r="F473" s="7" t="e">
        <f t="shared" si="83"/>
        <v>#REF!</v>
      </c>
      <c r="G473" s="7" t="e">
        <f t="shared" si="83"/>
        <v>#REF!</v>
      </c>
      <c r="H473" s="7" t="e">
        <f t="shared" si="83"/>
        <v>#REF!</v>
      </c>
      <c r="I473" s="7" t="e">
        <f t="shared" si="83"/>
        <v>#REF!</v>
      </c>
      <c r="J473" s="7" t="e">
        <f t="shared" si="83"/>
        <v>#REF!</v>
      </c>
      <c r="K473" s="7">
        <f>K168</f>
        <v>780893</v>
      </c>
      <c r="L473" s="7">
        <f>L168</f>
        <v>111401</v>
      </c>
      <c r="M473" s="312">
        <f t="shared" si="80"/>
        <v>0.14265846921409206</v>
      </c>
      <c r="N473" s="7">
        <f t="shared" si="83"/>
        <v>0</v>
      </c>
      <c r="O473" s="7">
        <f t="shared" si="83"/>
        <v>111401</v>
      </c>
      <c r="P473" s="7">
        <f t="shared" si="83"/>
        <v>0</v>
      </c>
    </row>
    <row r="474" spans="1:16" s="200" customFormat="1" ht="15.75" customHeight="1">
      <c r="A474" s="35"/>
      <c r="B474" s="486" t="s">
        <v>190</v>
      </c>
      <c r="C474" s="487"/>
      <c r="D474" s="487"/>
      <c r="E474" s="357" t="e">
        <f>E54+E55+#REF!+#REF!+#REF!+#REF!+#REF!+#REF!+#REF!+#REF!+#REF!+#REF!+#REF!</f>
        <v>#REF!</v>
      </c>
      <c r="F474" s="357" t="e">
        <f>F54+F55+#REF!+#REF!+#REF!+#REF!+#REF!+#REF!+#REF!+#REF!+#REF!+#REF!+#REF!</f>
        <v>#REF!</v>
      </c>
      <c r="G474" s="357" t="e">
        <f>G54+G55+#REF!+#REF!+#REF!+#REF!+#REF!+#REF!+#REF!+#REF!+#REF!+#REF!</f>
        <v>#REF!</v>
      </c>
      <c r="H474" s="357" t="e">
        <f>H54+#REF!+#REF!+#REF!+#REF!+#REF!+#REF!+#REF!+#REF!+#REF!+#REF!+#REF!+H292+H335+#REF!</f>
        <v>#REF!</v>
      </c>
      <c r="I474" s="357" t="e">
        <f>I54+#REF!+#REF!+#REF!+#REF!+#REF!+#REF!+#REF!+#REF!+#REF!+#REF!+#REF!+I292+I335+#REF!</f>
        <v>#REF!</v>
      </c>
      <c r="J474" s="357" t="e">
        <f>J54+#REF!+#REF!+#REF!+#REF!+#REF!+#REF!+#REF!+#REF!+#REF!+#REF!+#REF!+J292+J335+#REF!</f>
        <v>#REF!</v>
      </c>
      <c r="K474" s="357">
        <f aca="true" t="shared" si="84" ref="K474:P474">K475+K476</f>
        <v>6840410</v>
      </c>
      <c r="L474" s="357">
        <f t="shared" si="84"/>
        <v>421286</v>
      </c>
      <c r="M474" s="410">
        <f t="shared" si="80"/>
        <v>0.06158782879973569</v>
      </c>
      <c r="N474" s="357">
        <f t="shared" si="84"/>
        <v>0</v>
      </c>
      <c r="O474" s="357">
        <f t="shared" si="84"/>
        <v>421286</v>
      </c>
      <c r="P474" s="357">
        <f t="shared" si="84"/>
        <v>0</v>
      </c>
    </row>
    <row r="475" spans="1:16" s="200" customFormat="1" ht="15.75" customHeight="1">
      <c r="A475" s="35"/>
      <c r="B475" s="488" t="s">
        <v>443</v>
      </c>
      <c r="C475" s="489"/>
      <c r="D475" s="153"/>
      <c r="E475" s="7"/>
      <c r="F475" s="7"/>
      <c r="G475" s="7"/>
      <c r="H475" s="7"/>
      <c r="I475" s="123"/>
      <c r="J475" s="7"/>
      <c r="K475" s="7">
        <f aca="true" t="shared" si="85" ref="K475:P475">+K123</f>
        <v>42000</v>
      </c>
      <c r="L475" s="7">
        <f t="shared" si="85"/>
        <v>0</v>
      </c>
      <c r="M475" s="312">
        <f t="shared" si="80"/>
        <v>0</v>
      </c>
      <c r="N475" s="7">
        <f t="shared" si="85"/>
        <v>0</v>
      </c>
      <c r="O475" s="7">
        <f t="shared" si="85"/>
        <v>0</v>
      </c>
      <c r="P475" s="7">
        <f t="shared" si="85"/>
        <v>0</v>
      </c>
    </row>
    <row r="476" spans="1:16" s="200" customFormat="1" ht="17.25" customHeight="1">
      <c r="A476" s="36"/>
      <c r="B476" s="437" t="s">
        <v>331</v>
      </c>
      <c r="C476" s="437"/>
      <c r="D476" s="437"/>
      <c r="E476" s="7" t="e">
        <f>E54+E55+#REF!+#REF!+#REF!+#REF!+#REF!+#REF!+#REF!+#REF!+#REF!+#REF!+#REF!</f>
        <v>#REF!</v>
      </c>
      <c r="F476" s="7" t="e">
        <f>F54+F55+#REF!+#REF!+#REF!+#REF!+#REF!+#REF!+#REF!+#REF!+#REF!+#REF!+#REF!</f>
        <v>#REF!</v>
      </c>
      <c r="G476" s="7" t="e">
        <f>G54+G55+#REF!+#REF!+#REF!+#REF!+#REF!+#REF!+#REF!+#REF!+#REF!+#REF!+#REF!</f>
        <v>#REF!</v>
      </c>
      <c r="H476" s="7" t="e">
        <f>H474</f>
        <v>#REF!</v>
      </c>
      <c r="I476" s="123" t="e">
        <f>I474</f>
        <v>#REF!</v>
      </c>
      <c r="J476" s="7" t="e">
        <f>J474</f>
        <v>#REF!</v>
      </c>
      <c r="K476" s="7">
        <f>K54+K55+K56+K57+K164+K202+K290+K291+K292+K335+K390+K405+K434+K435+K456</f>
        <v>6798410</v>
      </c>
      <c r="L476" s="7">
        <f>L54+L55+L56+L57+L164+L202+L290+L291+L292+L335+L390+L405+L434+L435+L456</f>
        <v>421286</v>
      </c>
      <c r="M476" s="5">
        <f>L476/K476</f>
        <v>0.061968313179111</v>
      </c>
      <c r="N476" s="7">
        <f>N54+N55+N56+N57+N164+N202+N290+N291+N292+N335+N390+N405+N434+N435+N456</f>
        <v>0</v>
      </c>
      <c r="O476" s="7">
        <f>O54+O55+O56+O57+O164+O202+O290+O291+O292+O335+O390+O405+O434+O435+O456</f>
        <v>421286</v>
      </c>
      <c r="P476" s="7">
        <f>P54+P55+P56+P57+P164+P202+P290+P291+P292+P335+P390+P405+P434+P435+P456</f>
        <v>0</v>
      </c>
    </row>
    <row r="477" spans="1:16" s="200" customFormat="1" ht="14.25" customHeight="1">
      <c r="A477" s="438"/>
      <c r="B477" s="438"/>
      <c r="C477" s="438"/>
      <c r="D477" s="37"/>
      <c r="E477" s="37"/>
      <c r="F477" s="37"/>
      <c r="G477" s="37"/>
      <c r="H477" s="37"/>
      <c r="I477" s="37" t="s">
        <v>495</v>
      </c>
      <c r="J477" t="s">
        <v>560</v>
      </c>
      <c r="K477"/>
      <c r="L477"/>
      <c r="M477"/>
      <c r="N477" s="37" t="s">
        <v>609</v>
      </c>
      <c r="O477" s="37"/>
      <c r="P477" s="129"/>
    </row>
    <row r="478" spans="1:16" s="200" customFormat="1" ht="15.75" customHeight="1">
      <c r="A478" s="433"/>
      <c r="B478" s="433"/>
      <c r="C478" s="433"/>
      <c r="D478"/>
      <c r="E478"/>
      <c r="F478"/>
      <c r="G478"/>
      <c r="H478"/>
      <c r="I478" t="s">
        <v>351</v>
      </c>
      <c r="J478" s="37"/>
      <c r="K478" s="37"/>
      <c r="L478" s="37"/>
      <c r="M478" s="37"/>
      <c r="N478"/>
      <c r="O478"/>
      <c r="P478"/>
    </row>
    <row r="479" spans="1:16" s="200" customFormat="1" ht="12.75">
      <c r="A479"/>
      <c r="B479"/>
      <c r="C479"/>
      <c r="D479"/>
      <c r="E479" s="38"/>
      <c r="F479" s="38"/>
      <c r="G479" s="38"/>
      <c r="H479" s="38"/>
      <c r="I479" s="38"/>
      <c r="J479" s="37"/>
      <c r="K479" s="37"/>
      <c r="L479" s="37"/>
      <c r="M479" s="37"/>
      <c r="N479"/>
      <c r="O479" s="504"/>
      <c r="P479" s="504"/>
    </row>
    <row r="480" spans="1:16" s="200" customFormat="1" ht="12.75">
      <c r="A480"/>
      <c r="B480"/>
      <c r="C480"/>
      <c r="D480"/>
      <c r="E480"/>
      <c r="F480"/>
      <c r="G480"/>
      <c r="H480"/>
      <c r="I480"/>
      <c r="J480" s="37"/>
      <c r="K480" s="37"/>
      <c r="L480" s="37"/>
      <c r="M480" s="37"/>
      <c r="N480"/>
      <c r="O480"/>
      <c r="P480"/>
    </row>
    <row r="481" spans="1:16" s="200" customFormat="1" ht="12.75">
      <c r="A481"/>
      <c r="B481"/>
      <c r="C481"/>
      <c r="D481"/>
      <c r="E481"/>
      <c r="F481"/>
      <c r="G481"/>
      <c r="H481"/>
      <c r="I481"/>
      <c r="J481" s="37"/>
      <c r="K481" s="37"/>
      <c r="L481" s="37"/>
      <c r="M481" s="37"/>
      <c r="N481"/>
      <c r="O481" s="504"/>
      <c r="P481" s="504"/>
    </row>
    <row r="482" s="200" customFormat="1" ht="12.75"/>
    <row r="483" s="200" customFormat="1" ht="12.75"/>
    <row r="484" s="200" customFormat="1" ht="12.75"/>
    <row r="485" s="200" customFormat="1" ht="12.75"/>
    <row r="486" s="200" customFormat="1" ht="12.75"/>
    <row r="487" s="200" customFormat="1" ht="12.75"/>
    <row r="488" s="200" customFormat="1" ht="12.75"/>
    <row r="489" s="200" customFormat="1" ht="12.75"/>
    <row r="490" s="200" customFormat="1" ht="12.75"/>
    <row r="491" s="200" customFormat="1" ht="12.75"/>
    <row r="492" s="200" customFormat="1" ht="12.75"/>
    <row r="493" s="200" customFormat="1" ht="12.75"/>
    <row r="494" s="200" customFormat="1" ht="12.75"/>
    <row r="495" s="200" customFormat="1" ht="12.75"/>
    <row r="496" s="200" customFormat="1" ht="12.75"/>
    <row r="497" s="200" customFormat="1" ht="12.75"/>
    <row r="498" s="200" customFormat="1" ht="12.75"/>
    <row r="499" s="200" customFormat="1" ht="12.75"/>
    <row r="500" s="200" customFormat="1" ht="12.75"/>
    <row r="501" s="200" customFormat="1" ht="12.75"/>
    <row r="502" s="200" customFormat="1" ht="12.75"/>
    <row r="503" s="200" customFormat="1" ht="12.75"/>
    <row r="504" s="200" customFormat="1" ht="12.75"/>
    <row r="505" s="200" customFormat="1" ht="12.75"/>
    <row r="506" s="200" customFormat="1" ht="12.75"/>
    <row r="507" s="200" customFormat="1" ht="12.75"/>
    <row r="508" s="200" customFormat="1" ht="12.75"/>
    <row r="509" s="200" customFormat="1" ht="12.75"/>
    <row r="510" s="200" customFormat="1" ht="12.75"/>
    <row r="511" s="200" customFormat="1" ht="12.75"/>
    <row r="512" s="200" customFormat="1" ht="12.75"/>
    <row r="513" s="200" customFormat="1" ht="12.75"/>
    <row r="514" s="200" customFormat="1" ht="12.75"/>
    <row r="515" s="200" customFormat="1" ht="12.75"/>
    <row r="516" s="200" customFormat="1" ht="12.75"/>
    <row r="517" s="200" customFormat="1" ht="12.75"/>
    <row r="518" s="200" customFormat="1" ht="12.75"/>
    <row r="519" s="200" customFormat="1" ht="12.75"/>
    <row r="520" s="200" customFormat="1" ht="12.75"/>
    <row r="521" s="200" customFormat="1" ht="12.75"/>
    <row r="522" s="200" customFormat="1" ht="12.75"/>
    <row r="523" s="200" customFormat="1" ht="12.75"/>
    <row r="524" s="200" customFormat="1" ht="12.75"/>
    <row r="525" s="200" customFormat="1" ht="12.75"/>
    <row r="526" s="200" customFormat="1" ht="12.75"/>
    <row r="527" s="200" customFormat="1" ht="12.75"/>
    <row r="528" s="200" customFormat="1" ht="12.75"/>
    <row r="529" s="200" customFormat="1" ht="12.75"/>
    <row r="530" s="200" customFormat="1" ht="12.75"/>
    <row r="531" s="200" customFormat="1" ht="12.75"/>
    <row r="532" s="200" customFormat="1" ht="12.75"/>
    <row r="533" s="200" customFormat="1" ht="12.75"/>
    <row r="534" s="200" customFormat="1" ht="12.75"/>
    <row r="535" s="200" customFormat="1" ht="12.75"/>
    <row r="536" s="200" customFormat="1" ht="12.75"/>
    <row r="537" s="200" customFormat="1" ht="12.75"/>
    <row r="538" s="200" customFormat="1" ht="12.75"/>
    <row r="539" s="200" customFormat="1" ht="12.75"/>
    <row r="540" s="200" customFormat="1" ht="12.75"/>
    <row r="541" s="200" customFormat="1" ht="12.75"/>
    <row r="542" s="200" customFormat="1" ht="12.75"/>
    <row r="543" s="200" customFormat="1" ht="12.75"/>
    <row r="544" s="200" customFormat="1" ht="12.75"/>
    <row r="545" s="200" customFormat="1" ht="12.75"/>
    <row r="546" s="200" customFormat="1" ht="12.75"/>
    <row r="547" s="200" customFormat="1" ht="12.75"/>
    <row r="548" s="200" customFormat="1" ht="12.75"/>
    <row r="549" s="200" customFormat="1" ht="12.75"/>
    <row r="550" s="200" customFormat="1" ht="12.75"/>
    <row r="551" s="200" customFormat="1" ht="12.75"/>
    <row r="552" s="200" customFormat="1" ht="12.75"/>
    <row r="553" s="200" customFormat="1" ht="12.75"/>
    <row r="554" s="200" customFormat="1" ht="12.75"/>
    <row r="555" s="200" customFormat="1" ht="12.75"/>
    <row r="556" s="200" customFormat="1" ht="12.75"/>
    <row r="557" s="200" customFormat="1" ht="12.75"/>
    <row r="558" s="200" customFormat="1" ht="12.75"/>
    <row r="559" s="200" customFormat="1" ht="12.75"/>
    <row r="560" s="200" customFormat="1" ht="12.75"/>
    <row r="561" s="200" customFormat="1" ht="12.75"/>
    <row r="562" s="200" customFormat="1" ht="12.75"/>
    <row r="563" s="200" customFormat="1" ht="12.75"/>
    <row r="564" s="200" customFormat="1" ht="12.75"/>
    <row r="565" s="200" customFormat="1" ht="12.75"/>
    <row r="566" s="200" customFormat="1" ht="12.75"/>
    <row r="567" s="200" customFormat="1" ht="12.75"/>
    <row r="568" s="200" customFormat="1" ht="12.75"/>
    <row r="569" s="200" customFormat="1" ht="12.75"/>
    <row r="570" s="200" customFormat="1" ht="12.75"/>
    <row r="571" s="200" customFormat="1" ht="12.75"/>
    <row r="572" s="200" customFormat="1" ht="12.75"/>
    <row r="573" s="200" customFormat="1" ht="12.75"/>
    <row r="574" s="200" customFormat="1" ht="12.75"/>
    <row r="575" s="200" customFormat="1" ht="12.75"/>
    <row r="576" s="200" customFormat="1" ht="12.75"/>
    <row r="577" s="200" customFormat="1" ht="12.75"/>
    <row r="578" s="200" customFormat="1" ht="12.75"/>
    <row r="579" s="200" customFormat="1" ht="12.75"/>
    <row r="580" s="200" customFormat="1" ht="12.75"/>
    <row r="581" s="200" customFormat="1" ht="12.75"/>
    <row r="582" s="200" customFormat="1" ht="12.75"/>
    <row r="583" s="200" customFormat="1" ht="12.75"/>
    <row r="584" s="200" customFormat="1" ht="12.75"/>
    <row r="585" s="200" customFormat="1" ht="12.75"/>
    <row r="586" s="200" customFormat="1" ht="12.75"/>
    <row r="587" s="200" customFormat="1" ht="12.75"/>
    <row r="588" s="200" customFormat="1" ht="12.75"/>
    <row r="589" s="200" customFormat="1" ht="12.75"/>
    <row r="590" s="200" customFormat="1" ht="12.75"/>
    <row r="591" s="200" customFormat="1" ht="12.75"/>
    <row r="592" s="200" customFormat="1" ht="12.75"/>
    <row r="593" s="200" customFormat="1" ht="12.75"/>
    <row r="594" s="200" customFormat="1" ht="12.75"/>
    <row r="595" s="200" customFormat="1" ht="12.75"/>
    <row r="596" s="200" customFormat="1" ht="12.75"/>
    <row r="597" s="200" customFormat="1" ht="12.75"/>
    <row r="598" s="200" customFormat="1" ht="12.75"/>
    <row r="599" s="200" customFormat="1" ht="12.75"/>
    <row r="600" s="200" customFormat="1" ht="12.75"/>
    <row r="601" s="200" customFormat="1" ht="12.75"/>
    <row r="602" s="200" customFormat="1" ht="12.75"/>
    <row r="603" s="200" customFormat="1" ht="12.75"/>
    <row r="604" s="200" customFormat="1" ht="12.75"/>
    <row r="605" s="200" customFormat="1" ht="12.75"/>
    <row r="606" s="200" customFormat="1" ht="12.75"/>
    <row r="607" s="200" customFormat="1" ht="12.75"/>
    <row r="608" s="200" customFormat="1" ht="12.75"/>
    <row r="609" s="200" customFormat="1" ht="12.75"/>
    <row r="610" s="200" customFormat="1" ht="12.75"/>
    <row r="611" s="200" customFormat="1" ht="12.75"/>
    <row r="612" s="200" customFormat="1" ht="12.75"/>
    <row r="613" s="200" customFormat="1" ht="12.75"/>
    <row r="614" s="200" customFormat="1" ht="12.75"/>
    <row r="615" s="200" customFormat="1" ht="12.75"/>
    <row r="616" s="200" customFormat="1" ht="12.75"/>
    <row r="617" s="200" customFormat="1" ht="12.75"/>
    <row r="618" s="200" customFormat="1" ht="12.75"/>
    <row r="619" s="200" customFormat="1" ht="12.75"/>
    <row r="620" s="200" customFormat="1" ht="12.75"/>
    <row r="621" s="200" customFormat="1" ht="12.75"/>
    <row r="622" s="200" customFormat="1" ht="12.75"/>
    <row r="623" s="200" customFormat="1" ht="12.75"/>
    <row r="624" s="200" customFormat="1" ht="12.75"/>
    <row r="625" s="200" customFormat="1" ht="12.75"/>
    <row r="626" s="200" customFormat="1" ht="12.75"/>
    <row r="627" s="200" customFormat="1" ht="12.75"/>
    <row r="628" s="200" customFormat="1" ht="12.75"/>
    <row r="629" s="200" customFormat="1" ht="12.75"/>
    <row r="630" s="200" customFormat="1" ht="12.75"/>
    <row r="631" s="200" customFormat="1" ht="12.75"/>
    <row r="632" s="200" customFormat="1" ht="12.75"/>
    <row r="633" s="200" customFormat="1" ht="12.75"/>
    <row r="634" s="200" customFormat="1" ht="12.75"/>
    <row r="635" s="200" customFormat="1" ht="12.75"/>
    <row r="636" s="200" customFormat="1" ht="12.75"/>
    <row r="637" s="200" customFormat="1" ht="12.75"/>
    <row r="638" s="200" customFormat="1" ht="12.75"/>
    <row r="639" s="200" customFormat="1" ht="12.75"/>
    <row r="640" s="200" customFormat="1" ht="12.75"/>
    <row r="641" s="200" customFormat="1" ht="12.75"/>
    <row r="642" s="200" customFormat="1" ht="12.75"/>
    <row r="643" s="200" customFormat="1" ht="12.75"/>
    <row r="644" s="200" customFormat="1" ht="12.75"/>
    <row r="645" s="200" customFormat="1" ht="12.75"/>
    <row r="646" s="200" customFormat="1" ht="12.75"/>
    <row r="647" s="200" customFormat="1" ht="12.75"/>
    <row r="648" s="200" customFormat="1" ht="12.75"/>
    <row r="649" s="200" customFormat="1" ht="12.75"/>
    <row r="650" s="200" customFormat="1" ht="12.75"/>
    <row r="651" s="200" customFormat="1" ht="12.75"/>
    <row r="652" s="200" customFormat="1" ht="12.75"/>
    <row r="653" s="200" customFormat="1" ht="12.75"/>
    <row r="654" s="200" customFormat="1" ht="12.75"/>
    <row r="655" s="200" customFormat="1" ht="12.75"/>
    <row r="656" s="200" customFormat="1" ht="12.75"/>
    <row r="657" s="200" customFormat="1" ht="12.75"/>
    <row r="658" s="200" customFormat="1" ht="12.75"/>
    <row r="659" s="200" customFormat="1" ht="12.75"/>
    <row r="660" s="200" customFormat="1" ht="12.75"/>
    <row r="661" s="200" customFormat="1" ht="12.75"/>
    <row r="662" s="200" customFormat="1" ht="12.75"/>
    <row r="663" s="200" customFormat="1" ht="12.75"/>
    <row r="664" s="200" customFormat="1" ht="12.75"/>
    <row r="665" s="200" customFormat="1" ht="12.75"/>
    <row r="666" s="200" customFormat="1" ht="12.75"/>
    <row r="667" s="200" customFormat="1" ht="12.75"/>
    <row r="668" s="200" customFormat="1" ht="12.75"/>
    <row r="669" s="200" customFormat="1" ht="12.75"/>
    <row r="670" s="200" customFormat="1" ht="12.75"/>
    <row r="671" s="200" customFormat="1" ht="12.75"/>
    <row r="672" s="200" customFormat="1" ht="12.75"/>
    <row r="673" s="200" customFormat="1" ht="12.75"/>
    <row r="674" s="200" customFormat="1" ht="12.75"/>
    <row r="675" s="200" customFormat="1" ht="12.75"/>
    <row r="676" s="200" customFormat="1" ht="12.75"/>
    <row r="677" s="200" customFormat="1" ht="12.75"/>
    <row r="678" s="200" customFormat="1" ht="12.75"/>
    <row r="679" s="200" customFormat="1" ht="12.75"/>
    <row r="680" s="200" customFormat="1" ht="12.75"/>
    <row r="681" s="200" customFormat="1" ht="12.75"/>
    <row r="682" s="200" customFormat="1" ht="12.75"/>
    <row r="683" s="200" customFormat="1" ht="12.75"/>
    <row r="684" s="200" customFormat="1" ht="12.75"/>
    <row r="685" s="200" customFormat="1" ht="12.75"/>
    <row r="686" s="200" customFormat="1" ht="12.75"/>
    <row r="687" s="200" customFormat="1" ht="12.75"/>
    <row r="688" s="200" customFormat="1" ht="12.75"/>
    <row r="689" s="200" customFormat="1" ht="12.75"/>
    <row r="690" s="200" customFormat="1" ht="12.75"/>
    <row r="691" s="200" customFormat="1" ht="12.75"/>
    <row r="692" s="200" customFormat="1" ht="12.75"/>
    <row r="693" s="200" customFormat="1" ht="12.75"/>
    <row r="694" s="200" customFormat="1" ht="12.75"/>
    <row r="695" s="200" customFormat="1" ht="12.75"/>
    <row r="696" s="200" customFormat="1" ht="12.75"/>
    <row r="697" s="200" customFormat="1" ht="12.75"/>
    <row r="698" s="200" customFormat="1" ht="12.75"/>
    <row r="699" s="200" customFormat="1" ht="12.75"/>
    <row r="700" s="200" customFormat="1" ht="12.75"/>
    <row r="701" s="200" customFormat="1" ht="12.75"/>
    <row r="702" s="200" customFormat="1" ht="12.75"/>
    <row r="703" s="200" customFormat="1" ht="12.75"/>
    <row r="704" s="200" customFormat="1" ht="12.75"/>
    <row r="705" s="200" customFormat="1" ht="12.75"/>
    <row r="706" s="200" customFormat="1" ht="12.75"/>
    <row r="707" s="200" customFormat="1" ht="12.75"/>
    <row r="708" s="200" customFormat="1" ht="12.75"/>
    <row r="709" s="200" customFormat="1" ht="12.75"/>
    <row r="710" s="200" customFormat="1" ht="12.75"/>
    <row r="711" s="200" customFormat="1" ht="12.75"/>
    <row r="712" s="200" customFormat="1" ht="12.75"/>
    <row r="713" s="200" customFormat="1" ht="12.75"/>
    <row r="714" s="200" customFormat="1" ht="12.75"/>
    <row r="715" s="200" customFormat="1" ht="12.75"/>
    <row r="716" s="200" customFormat="1" ht="12.75"/>
    <row r="717" s="200" customFormat="1" ht="12.75"/>
    <row r="718" s="200" customFormat="1" ht="12.75"/>
    <row r="719" s="200" customFormat="1" ht="12.75"/>
    <row r="720" s="200" customFormat="1" ht="12.75"/>
    <row r="721" s="200" customFormat="1" ht="12.75"/>
    <row r="722" s="200" customFormat="1" ht="12.75"/>
    <row r="723" s="200" customFormat="1" ht="12.75"/>
    <row r="724" s="200" customFormat="1" ht="12.75"/>
    <row r="725" s="200" customFormat="1" ht="12.75"/>
    <row r="726" s="200" customFormat="1" ht="12.75"/>
    <row r="727" s="200" customFormat="1" ht="12.75"/>
    <row r="728" s="200" customFormat="1" ht="12.75"/>
    <row r="729" s="200" customFormat="1" ht="12.75"/>
    <row r="730" s="200" customFormat="1" ht="12.75"/>
    <row r="731" s="200" customFormat="1" ht="12.75"/>
    <row r="732" s="200" customFormat="1" ht="12.75"/>
    <row r="733" s="200" customFormat="1" ht="12.75"/>
    <row r="734" s="200" customFormat="1" ht="12.75"/>
    <row r="735" s="200" customFormat="1" ht="12.75"/>
    <row r="736" s="200" customFormat="1" ht="12.75"/>
    <row r="737" s="200" customFormat="1" ht="12.75"/>
    <row r="738" s="200" customFormat="1" ht="12.75"/>
    <row r="739" s="200" customFormat="1" ht="12.75"/>
    <row r="740" s="200" customFormat="1" ht="12.75"/>
    <row r="741" s="200" customFormat="1" ht="12.75"/>
    <row r="742" s="200" customFormat="1" ht="12.75"/>
    <row r="743" s="200" customFormat="1" ht="12.75"/>
    <row r="744" s="200" customFormat="1" ht="12.75"/>
    <row r="745" s="200" customFormat="1" ht="12.75"/>
    <row r="746" s="200" customFormat="1" ht="12.75"/>
    <row r="747" s="200" customFormat="1" ht="12.75"/>
    <row r="748" s="200" customFormat="1" ht="12.75"/>
    <row r="749" s="200" customFormat="1" ht="12.75"/>
    <row r="750" s="200" customFormat="1" ht="12.75"/>
    <row r="751" s="200" customFormat="1" ht="12.75"/>
    <row r="752" s="200" customFormat="1" ht="12.75"/>
    <row r="753" s="200" customFormat="1" ht="12.75"/>
    <row r="754" s="200" customFormat="1" ht="12.75"/>
    <row r="755" s="200" customFormat="1" ht="12.75"/>
    <row r="756" s="200" customFormat="1" ht="12.75"/>
    <row r="757" s="200" customFormat="1" ht="12.75"/>
    <row r="758" s="200" customFormat="1" ht="12.75"/>
    <row r="759" s="200" customFormat="1" ht="12.75"/>
    <row r="760" s="200" customFormat="1" ht="12.75"/>
    <row r="761" s="200" customFormat="1" ht="12.75"/>
    <row r="762" s="200" customFormat="1" ht="12.75"/>
    <row r="763" s="200" customFormat="1" ht="12.75"/>
    <row r="764" s="200" customFormat="1" ht="12.75"/>
    <row r="765" s="200" customFormat="1" ht="12.75"/>
    <row r="766" s="200" customFormat="1" ht="12.75"/>
    <row r="767" s="200" customFormat="1" ht="12.75"/>
    <row r="768" s="200" customFormat="1" ht="12.75"/>
    <row r="769" s="200" customFormat="1" ht="12.75"/>
    <row r="770" s="200" customFormat="1" ht="12.75"/>
    <row r="771" s="200" customFormat="1" ht="12.75"/>
    <row r="772" s="200" customFormat="1" ht="12.75"/>
    <row r="773" s="200" customFormat="1" ht="12.75"/>
    <row r="774" s="200" customFormat="1" ht="12.75"/>
    <row r="775" s="200" customFormat="1" ht="12.75"/>
    <row r="776" s="200" customFormat="1" ht="12.75"/>
    <row r="777" s="200" customFormat="1" ht="12.75"/>
    <row r="778" s="200" customFormat="1" ht="12.75"/>
    <row r="779" s="200" customFormat="1" ht="12.75"/>
    <row r="780" s="200" customFormat="1" ht="12.75"/>
    <row r="781" s="200" customFormat="1" ht="12.75"/>
    <row r="782" s="200" customFormat="1" ht="12.75"/>
    <row r="783" s="200" customFormat="1" ht="12.75"/>
    <row r="784" s="200" customFormat="1" ht="12.75"/>
    <row r="785" s="200" customFormat="1" ht="12.75"/>
    <row r="786" s="200" customFormat="1" ht="12.75"/>
    <row r="787" s="200" customFormat="1" ht="12.75"/>
    <row r="788" s="200" customFormat="1" ht="12.75"/>
    <row r="789" s="200" customFormat="1" ht="12.75"/>
    <row r="790" s="200" customFormat="1" ht="12.75"/>
    <row r="791" s="200" customFormat="1" ht="12.75"/>
    <row r="792" s="200" customFormat="1" ht="12.75"/>
    <row r="793" s="200" customFormat="1" ht="12.75"/>
    <row r="794" s="200" customFormat="1" ht="12.75"/>
    <row r="795" s="200" customFormat="1" ht="12.75"/>
    <row r="796" s="200" customFormat="1" ht="12.75"/>
    <row r="797" s="200" customFormat="1" ht="12.75"/>
    <row r="798" s="200" customFormat="1" ht="12.75"/>
    <row r="799" s="200" customFormat="1" ht="12.75"/>
    <row r="800" s="200" customFormat="1" ht="12.75"/>
    <row r="801" s="200" customFormat="1" ht="12.75"/>
    <row r="802" s="200" customFormat="1" ht="12.75"/>
    <row r="803" s="200" customFormat="1" ht="12.75"/>
    <row r="804" s="200" customFormat="1" ht="12.75"/>
    <row r="805" s="200" customFormat="1" ht="12.75"/>
    <row r="806" s="200" customFormat="1" ht="12.75"/>
    <row r="807" s="200" customFormat="1" ht="12.75"/>
    <row r="808" s="200" customFormat="1" ht="12.75"/>
    <row r="809" s="200" customFormat="1" ht="12.75"/>
    <row r="810" s="200" customFormat="1" ht="12.75"/>
    <row r="811" s="200" customFormat="1" ht="12.75"/>
    <row r="812" s="200" customFormat="1" ht="12.75"/>
    <row r="813" s="200" customFormat="1" ht="12.75"/>
    <row r="814" s="200" customFormat="1" ht="12.75"/>
    <row r="815" s="200" customFormat="1" ht="12.75"/>
    <row r="816" s="200" customFormat="1" ht="12.75"/>
    <row r="817" s="200" customFormat="1" ht="12.75"/>
    <row r="818" s="200" customFormat="1" ht="12.75"/>
    <row r="819" s="200" customFormat="1" ht="12.75"/>
    <row r="820" s="200" customFormat="1" ht="12.75"/>
    <row r="821" s="200" customFormat="1" ht="12.75"/>
    <row r="822" s="200" customFormat="1" ht="12.75"/>
    <row r="823" s="200" customFormat="1" ht="12.75"/>
    <row r="824" s="200" customFormat="1" ht="12.75"/>
    <row r="825" s="200" customFormat="1" ht="12.75"/>
    <row r="826" s="200" customFormat="1" ht="12.75"/>
    <row r="827" s="200" customFormat="1" ht="12.75"/>
    <row r="828" s="200" customFormat="1" ht="12.75"/>
    <row r="829" s="200" customFormat="1" ht="12.75"/>
    <row r="830" s="200" customFormat="1" ht="12.75"/>
    <row r="831" s="200" customFormat="1" ht="12.75"/>
    <row r="832" s="200" customFormat="1" ht="12.75"/>
    <row r="833" s="200" customFormat="1" ht="12.75"/>
    <row r="834" s="200" customFormat="1" ht="12.75"/>
    <row r="835" s="200" customFormat="1" ht="12.75"/>
    <row r="836" s="200" customFormat="1" ht="12.75"/>
    <row r="837" s="200" customFormat="1" ht="12.75"/>
    <row r="838" s="200" customFormat="1" ht="12.75"/>
    <row r="839" s="200" customFormat="1" ht="12.75"/>
    <row r="840" s="200" customFormat="1" ht="12.75"/>
    <row r="841" s="200" customFormat="1" ht="12.75"/>
    <row r="842" s="200" customFormat="1" ht="12.75"/>
    <row r="843" s="200" customFormat="1" ht="12.75"/>
    <row r="844" s="200" customFormat="1" ht="12.75"/>
    <row r="845" s="200" customFormat="1" ht="12.75"/>
    <row r="846" s="200" customFormat="1" ht="12.75"/>
    <row r="847" s="200" customFormat="1" ht="12.75"/>
    <row r="848" s="200" customFormat="1" ht="12.75"/>
    <row r="849" s="200" customFormat="1" ht="12.75"/>
    <row r="850" s="200" customFormat="1" ht="12.75"/>
    <row r="851" s="200" customFormat="1" ht="12.75"/>
    <row r="852" s="200" customFormat="1" ht="12.75"/>
    <row r="853" s="200" customFormat="1" ht="12.75"/>
    <row r="854" s="200" customFormat="1" ht="12.75"/>
    <row r="855" s="200" customFormat="1" ht="12.75"/>
    <row r="856" s="200" customFormat="1" ht="12.75"/>
    <row r="857" s="200" customFormat="1" ht="12.75"/>
    <row r="858" s="200" customFormat="1" ht="12.75"/>
    <row r="859" s="200" customFormat="1" ht="12.75"/>
    <row r="860" s="200" customFormat="1" ht="12.75"/>
    <row r="861" s="200" customFormat="1" ht="12.75"/>
    <row r="862" s="200" customFormat="1" ht="12.75"/>
    <row r="863" s="200" customFormat="1" ht="12.75"/>
    <row r="864" s="200" customFormat="1" ht="12.75"/>
    <row r="865" s="200" customFormat="1" ht="12.75"/>
    <row r="866" s="200" customFormat="1" ht="12.75"/>
    <row r="867" s="200" customFormat="1" ht="12.75"/>
    <row r="868" s="200" customFormat="1" ht="12.75"/>
    <row r="869" s="200" customFormat="1" ht="12.75"/>
    <row r="870" s="200" customFormat="1" ht="12.75"/>
    <row r="871" s="200" customFormat="1" ht="12.75"/>
    <row r="872" s="200" customFormat="1" ht="12.75"/>
    <row r="873" s="200" customFormat="1" ht="12.75"/>
    <row r="874" s="200" customFormat="1" ht="12.75"/>
    <row r="875" s="200" customFormat="1" ht="12.75"/>
    <row r="876" s="200" customFormat="1" ht="12.75"/>
    <row r="877" s="200" customFormat="1" ht="12.75"/>
    <row r="878" s="200" customFormat="1" ht="12.75"/>
    <row r="879" s="200" customFormat="1" ht="12.75"/>
    <row r="880" s="200" customFormat="1" ht="12.75"/>
    <row r="881" s="200" customFormat="1" ht="12.75"/>
    <row r="882" s="200" customFormat="1" ht="12.75"/>
    <row r="883" s="200" customFormat="1" ht="12.75"/>
    <row r="884" s="200" customFormat="1" ht="12.75"/>
    <row r="885" s="200" customFormat="1" ht="12.75"/>
    <row r="886" s="200" customFormat="1" ht="12.75"/>
    <row r="887" s="200" customFormat="1" ht="12.75"/>
    <row r="888" s="200" customFormat="1" ht="12.75"/>
    <row r="889" s="200" customFormat="1" ht="12.75"/>
    <row r="890" s="200" customFormat="1" ht="12.75"/>
    <row r="891" s="200" customFormat="1" ht="12.75"/>
    <row r="892" s="200" customFormat="1" ht="12.75"/>
    <row r="893" s="200" customFormat="1" ht="12.75"/>
    <row r="894" s="200" customFormat="1" ht="12.75"/>
    <row r="895" s="200" customFormat="1" ht="12.75"/>
    <row r="896" s="200" customFormat="1" ht="12.75"/>
    <row r="897" s="200" customFormat="1" ht="12.75"/>
    <row r="898" s="200" customFormat="1" ht="12.75"/>
    <row r="899" s="200" customFormat="1" ht="12.75"/>
    <row r="900" s="200" customFormat="1" ht="12.75"/>
    <row r="901" s="200" customFormat="1" ht="12.75"/>
    <row r="902" s="200" customFormat="1" ht="12.75"/>
    <row r="903" s="200" customFormat="1" ht="12.75"/>
    <row r="904" s="200" customFormat="1" ht="12.75"/>
    <row r="905" s="200" customFormat="1" ht="12.75"/>
    <row r="906" s="200" customFormat="1" ht="12.75"/>
    <row r="907" s="200" customFormat="1" ht="12.75"/>
    <row r="908" s="200" customFormat="1" ht="12.75"/>
    <row r="909" s="200" customFormat="1" ht="12.75"/>
    <row r="910" s="200" customFormat="1" ht="12.75"/>
    <row r="911" s="200" customFormat="1" ht="12.75"/>
    <row r="912" s="200" customFormat="1" ht="12.75"/>
    <row r="913" s="200" customFormat="1" ht="12.75"/>
    <row r="914" s="200" customFormat="1" ht="12.75"/>
    <row r="915" s="200" customFormat="1" ht="12.75"/>
    <row r="916" s="200" customFormat="1" ht="12.75"/>
    <row r="917" s="200" customFormat="1" ht="12.75"/>
    <row r="918" s="200" customFormat="1" ht="12.75"/>
    <row r="919" s="200" customFormat="1" ht="12.75"/>
    <row r="920" s="200" customFormat="1" ht="12.75"/>
    <row r="921" s="200" customFormat="1" ht="12.75"/>
    <row r="922" s="200" customFormat="1" ht="12.75"/>
    <row r="923" s="200" customFormat="1" ht="12.75"/>
    <row r="924" s="200" customFormat="1" ht="12.75"/>
    <row r="925" s="200" customFormat="1" ht="12.75"/>
    <row r="926" s="200" customFormat="1" ht="12.75"/>
    <row r="927" s="200" customFormat="1" ht="12.75"/>
    <row r="928" s="200" customFormat="1" ht="12.75"/>
    <row r="929" s="200" customFormat="1" ht="12.75"/>
    <row r="930" s="200" customFormat="1" ht="12.75"/>
    <row r="931" s="200" customFormat="1" ht="12.75"/>
    <row r="932" s="200" customFormat="1" ht="12.75"/>
    <row r="933" s="200" customFormat="1" ht="12.75"/>
    <row r="934" s="200" customFormat="1" ht="12.75"/>
    <row r="935" s="200" customFormat="1" ht="12.75"/>
    <row r="936" s="200" customFormat="1" ht="12.75"/>
    <row r="937" s="200" customFormat="1" ht="12.75"/>
    <row r="938" s="200" customFormat="1" ht="12.75"/>
    <row r="939" s="200" customFormat="1" ht="12.75"/>
    <row r="940" s="200" customFormat="1" ht="12.75"/>
    <row r="941" s="200" customFormat="1" ht="12.75"/>
    <row r="942" s="200" customFormat="1" ht="12.75"/>
    <row r="943" s="200" customFormat="1" ht="12.75"/>
    <row r="944" s="200" customFormat="1" ht="12.75"/>
    <row r="945" s="200" customFormat="1" ht="12.75"/>
    <row r="946" s="200" customFormat="1" ht="12.75"/>
    <row r="947" s="200" customFormat="1" ht="12.75"/>
    <row r="948" s="200" customFormat="1" ht="12.75"/>
    <row r="949" s="200" customFormat="1" ht="12.75"/>
    <row r="950" s="200" customFormat="1" ht="12.75"/>
    <row r="951" s="200" customFormat="1" ht="12.75"/>
    <row r="952" s="200" customFormat="1" ht="12.75"/>
    <row r="953" s="200" customFormat="1" ht="12.75"/>
    <row r="954" s="200" customFormat="1" ht="12.75"/>
    <row r="955" s="200" customFormat="1" ht="12.75"/>
    <row r="956" s="200" customFormat="1" ht="12.75"/>
    <row r="957" s="200" customFormat="1" ht="12.75"/>
    <row r="958" s="200" customFormat="1" ht="12.75"/>
    <row r="959" s="200" customFormat="1" ht="12.75"/>
    <row r="960" s="200" customFormat="1" ht="12.75"/>
    <row r="961" s="200" customFormat="1" ht="12.75"/>
    <row r="962" s="200" customFormat="1" ht="12.75"/>
    <row r="963" s="200" customFormat="1" ht="12.75"/>
    <row r="964" s="200" customFormat="1" ht="12.75"/>
    <row r="965" s="200" customFormat="1" ht="12.75"/>
    <row r="966" s="200" customFormat="1" ht="12.75"/>
    <row r="967" s="200" customFormat="1" ht="12.75"/>
    <row r="968" s="200" customFormat="1" ht="12.75"/>
    <row r="969" s="200" customFormat="1" ht="12.75"/>
    <row r="970" s="200" customFormat="1" ht="12.75"/>
    <row r="971" s="200" customFormat="1" ht="12.75"/>
    <row r="972" s="200" customFormat="1" ht="12.75"/>
    <row r="973" s="200" customFormat="1" ht="12.75"/>
    <row r="974" s="200" customFormat="1" ht="12.75"/>
    <row r="975" s="200" customFormat="1" ht="12.75"/>
    <row r="976" s="200" customFormat="1" ht="12.75"/>
    <row r="977" s="200" customFormat="1" ht="12.75"/>
    <row r="978" s="200" customFormat="1" ht="12.75"/>
    <row r="979" s="200" customFormat="1" ht="12.75"/>
    <row r="980" s="200" customFormat="1" ht="12.75"/>
    <row r="981" s="200" customFormat="1" ht="12.75"/>
    <row r="982" s="200" customFormat="1" ht="12.75"/>
    <row r="983" s="200" customFormat="1" ht="12.75"/>
    <row r="984" s="200" customFormat="1" ht="12.75"/>
    <row r="985" s="200" customFormat="1" ht="12.75"/>
    <row r="986" s="200" customFormat="1" ht="12.75"/>
    <row r="987" s="200" customFormat="1" ht="12.75"/>
    <row r="988" s="200" customFormat="1" ht="12.75"/>
    <row r="989" s="200" customFormat="1" ht="12.75"/>
    <row r="990" s="200" customFormat="1" ht="12.75"/>
    <row r="991" s="200" customFormat="1" ht="12.75"/>
    <row r="992" s="200" customFormat="1" ht="12.75"/>
    <row r="993" s="200" customFormat="1" ht="12.75"/>
    <row r="994" s="200" customFormat="1" ht="12.75"/>
    <row r="995" s="200" customFormat="1" ht="12.75"/>
    <row r="996" s="200" customFormat="1" ht="12.75"/>
    <row r="997" s="200" customFormat="1" ht="12.75"/>
    <row r="998" s="200" customFormat="1" ht="12.75"/>
    <row r="999" s="200" customFormat="1" ht="12.75"/>
    <row r="1000" s="200" customFormat="1" ht="12.75"/>
    <row r="1001" s="200" customFormat="1" ht="12.75"/>
    <row r="1002" s="200" customFormat="1" ht="12.75"/>
    <row r="1003" s="200" customFormat="1" ht="12.75"/>
    <row r="1004" s="200" customFormat="1" ht="12.75"/>
    <row r="1005" s="200" customFormat="1" ht="12.75"/>
    <row r="1006" s="200" customFormat="1" ht="12.75"/>
    <row r="1007" s="200" customFormat="1" ht="12.75"/>
    <row r="1008" s="200" customFormat="1" ht="12.75"/>
    <row r="1009" s="200" customFormat="1" ht="12.75"/>
    <row r="1010" s="200" customFormat="1" ht="12.75"/>
    <row r="1011" s="200" customFormat="1" ht="12.75"/>
    <row r="1012" s="200" customFormat="1" ht="12.75"/>
    <row r="1013" s="200" customFormat="1" ht="12.75"/>
    <row r="1014" s="200" customFormat="1" ht="12.75"/>
    <row r="1015" s="200" customFormat="1" ht="12.75"/>
    <row r="1016" s="200" customFormat="1" ht="12.75"/>
    <row r="1017" s="200" customFormat="1" ht="12.75"/>
    <row r="1018" s="200" customFormat="1" ht="12.75"/>
    <row r="1019" s="200" customFormat="1" ht="12.75"/>
    <row r="1020" s="200" customFormat="1" ht="12.75"/>
    <row r="1021" s="200" customFormat="1" ht="12.75"/>
    <row r="1022" s="200" customFormat="1" ht="12.75"/>
    <row r="1023" s="200" customFormat="1" ht="12.75"/>
    <row r="1024" s="200" customFormat="1" ht="12.75"/>
    <row r="1025" s="200" customFormat="1" ht="12.75"/>
    <row r="1026" s="200" customFormat="1" ht="12.75"/>
    <row r="1027" s="200" customFormat="1" ht="12.75"/>
    <row r="1028" s="200" customFormat="1" ht="12.75"/>
    <row r="1029" s="200" customFormat="1" ht="12.75"/>
    <row r="1030" s="200" customFormat="1" ht="12.75"/>
    <row r="1031" s="200" customFormat="1" ht="12.75"/>
    <row r="1032" s="200" customFormat="1" ht="12.75"/>
    <row r="1033" s="200" customFormat="1" ht="12.75"/>
    <row r="1034" s="200" customFormat="1" ht="12.75"/>
    <row r="1035" s="200" customFormat="1" ht="12.75"/>
    <row r="1036" s="200" customFormat="1" ht="12.75"/>
    <row r="1037" s="200" customFormat="1" ht="12.75"/>
    <row r="1038" s="200" customFormat="1" ht="12.75"/>
    <row r="1039" s="200" customFormat="1" ht="12.75"/>
    <row r="1040" s="200" customFormat="1" ht="12.75"/>
    <row r="1041" s="200" customFormat="1" ht="12.75"/>
    <row r="1042" s="200" customFormat="1" ht="12.75"/>
    <row r="1043" s="200" customFormat="1" ht="12.75"/>
    <row r="1044" s="200" customFormat="1" ht="12.75"/>
    <row r="1045" s="200" customFormat="1" ht="12.75"/>
    <row r="1046" s="200" customFormat="1" ht="12.75"/>
    <row r="1047" s="200" customFormat="1" ht="12.75"/>
    <row r="1048" s="200" customFormat="1" ht="12.75"/>
    <row r="1049" s="200" customFormat="1" ht="12.75"/>
    <row r="1050" s="200" customFormat="1" ht="12.75"/>
    <row r="1051" s="200" customFormat="1" ht="12.75"/>
    <row r="1052" s="200" customFormat="1" ht="12.75"/>
    <row r="1053" s="200" customFormat="1" ht="12.75"/>
    <row r="1054" s="200" customFormat="1" ht="12.75"/>
    <row r="1055" s="200" customFormat="1" ht="12.75"/>
    <row r="1056" s="200" customFormat="1" ht="12.75"/>
    <row r="1057" s="200" customFormat="1" ht="12.75"/>
    <row r="1058" s="200" customFormat="1" ht="12.75"/>
    <row r="1059" s="200" customFormat="1" ht="12.75"/>
    <row r="1060" s="200" customFormat="1" ht="12.75"/>
    <row r="1061" s="200" customFormat="1" ht="12.75"/>
    <row r="1062" s="200" customFormat="1" ht="12.75"/>
    <row r="1063" s="200" customFormat="1" ht="12.75"/>
    <row r="1064" s="200" customFormat="1" ht="12.75"/>
    <row r="1065" s="200" customFormat="1" ht="12.75"/>
    <row r="1066" s="200" customFormat="1" ht="12.75"/>
    <row r="1067" s="200" customFormat="1" ht="12.75"/>
    <row r="1068" s="200" customFormat="1" ht="12.75"/>
    <row r="1069" s="200" customFormat="1" ht="12.75"/>
    <row r="1070" s="200" customFormat="1" ht="12.75"/>
    <row r="1071" s="200" customFormat="1" ht="12.75"/>
    <row r="1072" s="200" customFormat="1" ht="12.75"/>
    <row r="1073" s="200" customFormat="1" ht="12.75"/>
    <row r="1074" s="200" customFormat="1" ht="12.75"/>
    <row r="1075" s="200" customFormat="1" ht="12.75"/>
    <row r="1076" s="200" customFormat="1" ht="12.75"/>
    <row r="1077" s="200" customFormat="1" ht="12.75"/>
    <row r="1078" s="200" customFormat="1" ht="12.75"/>
    <row r="1079" s="200" customFormat="1" ht="12.75"/>
    <row r="1080" s="200" customFormat="1" ht="12.75"/>
    <row r="1081" s="200" customFormat="1" ht="12.75"/>
    <row r="1082" s="200" customFormat="1" ht="12.75"/>
    <row r="1083" s="200" customFormat="1" ht="12.75"/>
    <row r="1084" s="200" customFormat="1" ht="12.75"/>
    <row r="1085" s="200" customFormat="1" ht="12.75"/>
    <row r="1086" s="200" customFormat="1" ht="12.75"/>
    <row r="1087" s="200" customFormat="1" ht="12.75"/>
    <row r="1088" s="200" customFormat="1" ht="12.75"/>
    <row r="1089" s="200" customFormat="1" ht="12.75"/>
    <row r="1090" s="200" customFormat="1" ht="12.75"/>
    <row r="1091" s="200" customFormat="1" ht="12.75"/>
    <row r="1092" s="200" customFormat="1" ht="12.75"/>
    <row r="1093" s="200" customFormat="1" ht="12.75"/>
    <row r="1094" s="200" customFormat="1" ht="12.75"/>
    <row r="1095" s="200" customFormat="1" ht="12.75"/>
    <row r="1096" s="200" customFormat="1" ht="12.75"/>
    <row r="1097" s="200" customFormat="1" ht="12.75"/>
    <row r="1098" s="200" customFormat="1" ht="12.75"/>
    <row r="1099" s="200" customFormat="1" ht="12.75"/>
    <row r="1100" s="200" customFormat="1" ht="12.75"/>
    <row r="1101" s="200" customFormat="1" ht="12.75"/>
    <row r="1102" s="200" customFormat="1" ht="12.75"/>
    <row r="1103" s="200" customFormat="1" ht="12.75"/>
    <row r="1104" s="200" customFormat="1" ht="12.75"/>
    <row r="1105" s="200" customFormat="1" ht="12.75"/>
    <row r="1106" s="200" customFormat="1" ht="12.75"/>
    <row r="1107" s="200" customFormat="1" ht="12.75"/>
    <row r="1108" s="200" customFormat="1" ht="12.75"/>
    <row r="1109" s="200" customFormat="1" ht="12.75"/>
    <row r="1110" s="200" customFormat="1" ht="12.75"/>
    <row r="1111" s="200" customFormat="1" ht="12.75"/>
    <row r="1112" s="200" customFormat="1" ht="12.75"/>
    <row r="1113" s="200" customFormat="1" ht="12.75"/>
    <row r="1114" s="200" customFormat="1" ht="12.75"/>
    <row r="1115" s="200" customFormat="1" ht="12.75"/>
    <row r="1116" s="200" customFormat="1" ht="12.75"/>
    <row r="1117" s="200" customFormat="1" ht="12.75"/>
    <row r="1118" s="200" customFormat="1" ht="12.75"/>
    <row r="1119" s="200" customFormat="1" ht="12.75"/>
    <row r="1120" s="200" customFormat="1" ht="12.75"/>
    <row r="1121" s="200" customFormat="1" ht="12.75"/>
    <row r="1122" s="200" customFormat="1" ht="12.75"/>
    <row r="1123" s="200" customFormat="1" ht="12.75"/>
    <row r="1124" s="200" customFormat="1" ht="12.75"/>
    <row r="1125" s="200" customFormat="1" ht="12.75"/>
    <row r="1126" s="200" customFormat="1" ht="12.75"/>
    <row r="1127" s="200" customFormat="1" ht="12.75"/>
    <row r="1128" s="200" customFormat="1" ht="12.75"/>
    <row r="1129" s="200" customFormat="1" ht="12.75"/>
    <row r="1130" s="200" customFormat="1" ht="12.75"/>
    <row r="1131" s="200" customFormat="1" ht="12.75"/>
    <row r="1132" s="200" customFormat="1" ht="12.75"/>
    <row r="1133" s="200" customFormat="1" ht="12.75"/>
    <row r="1134" s="200" customFormat="1" ht="12.75"/>
    <row r="1135" s="200" customFormat="1" ht="12.75"/>
    <row r="1136" s="200" customFormat="1" ht="12.75"/>
    <row r="1137" s="200" customFormat="1" ht="12.75"/>
    <row r="1138" s="200" customFormat="1" ht="12.75"/>
    <row r="1139" s="200" customFormat="1" ht="12.75"/>
    <row r="1140" s="200" customFormat="1" ht="12.75"/>
    <row r="1141" s="200" customFormat="1" ht="12.75"/>
    <row r="1142" s="200" customFormat="1" ht="12.75"/>
    <row r="1143" s="200" customFormat="1" ht="12.75"/>
    <row r="1144" s="200" customFormat="1" ht="12.75"/>
    <row r="1145" s="200" customFormat="1" ht="12.75"/>
    <row r="1146" s="200" customFormat="1" ht="12.75"/>
    <row r="1147" s="200" customFormat="1" ht="12.75"/>
    <row r="1148" s="200" customFormat="1" ht="12.75"/>
    <row r="1149" s="200" customFormat="1" ht="12.75"/>
    <row r="1150" s="200" customFormat="1" ht="12.75"/>
    <row r="1151" s="200" customFormat="1" ht="12.75"/>
    <row r="1152" s="200" customFormat="1" ht="12.75"/>
    <row r="1153" s="200" customFormat="1" ht="12.75"/>
    <row r="1154" s="200" customFormat="1" ht="12.75"/>
    <row r="1155" s="200" customFormat="1" ht="12.75"/>
    <row r="1156" s="200" customFormat="1" ht="12.75"/>
    <row r="1157" s="200" customFormat="1" ht="12.75"/>
    <row r="1158" s="200" customFormat="1" ht="12.75"/>
    <row r="1159" s="200" customFormat="1" ht="12.75"/>
    <row r="1160" s="200" customFormat="1" ht="12.75"/>
    <row r="1161" s="200" customFormat="1" ht="12.75"/>
    <row r="1162" s="200" customFormat="1" ht="12.75"/>
    <row r="1163" s="200" customFormat="1" ht="12.75"/>
    <row r="1164" s="200" customFormat="1" ht="12.75"/>
    <row r="1165" s="200" customFormat="1" ht="12.75"/>
    <row r="1166" s="200" customFormat="1" ht="12.75"/>
    <row r="1167" s="200" customFormat="1" ht="12.75"/>
    <row r="1168" s="200" customFormat="1" ht="12.75"/>
    <row r="1169" s="200" customFormat="1" ht="12.75"/>
    <row r="1170" s="200" customFormat="1" ht="12.75"/>
    <row r="1171" s="200" customFormat="1" ht="12.75"/>
    <row r="1172" s="200" customFormat="1" ht="12.75"/>
    <row r="1173" s="200" customFormat="1" ht="12.75"/>
    <row r="1174" s="200" customFormat="1" ht="12.75"/>
    <row r="1175" s="200" customFormat="1" ht="12.75"/>
    <row r="1176" s="200" customFormat="1" ht="12.75"/>
    <row r="1177" s="200" customFormat="1" ht="12.75"/>
    <row r="1178" s="200" customFormat="1" ht="12.75"/>
    <row r="1179" s="200" customFormat="1" ht="12.75"/>
    <row r="1180" s="200" customFormat="1" ht="12.75"/>
    <row r="1181" spans="1:16" s="20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s="20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s="20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s="20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s="20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s="20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s="20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s="20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s="20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s="20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s="20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s="20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s="20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s="20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s="20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s="20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s="20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s="20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s="20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s="20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s="20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s="20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s="20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s="20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s="20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s="20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s="20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s="20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s="20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s="20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s="20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s="20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s="20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s="20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s="20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s="20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s="20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s="20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s="20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s="20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s="20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s="20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s="20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s="20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s="20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s="20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s="20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s="20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s="20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s="20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s="20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s="20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s="20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s="20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s="20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s="20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s="20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s="20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s="20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s="20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s="20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s="20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s="20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s="20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s="20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s="20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s="20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s="20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s="20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s="20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s="20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s="20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s="20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s="20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s="20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s="20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s="20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s="20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s="20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s="20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s="20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s="20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s="20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s="20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s="20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s="20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s="20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s="20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s="20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s="20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s="20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s="20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s="20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s="20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s="20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s="20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s="20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s="20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s="20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s="20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s="20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s="20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s="20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s="20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s="20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s="20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s="20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s="20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s="20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s="20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s="20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s="20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s="20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s="20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s="20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s="20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s="20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s="20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s="20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s="20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s="20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s="20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s="20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s="20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s="20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s="20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s="20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s="20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s="20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s="20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s="20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s="20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s="20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s="20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s="20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s="20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s="20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s="20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s="20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s="20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s="20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s="20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s="20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s="20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s="20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s="20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s="20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s="20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s="20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s="20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s="20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s="20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s="20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s="20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s="20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s="20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s="20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s="20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s="20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s="20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s="20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s="20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s="20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s="20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s="20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s="20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s="20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s="20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s="20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s="20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s="20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s="20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s="20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s="20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s="20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s="20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s="20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s="20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s="20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s="20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s="20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s="20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s="20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s="20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s="20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s="20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s="20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s="20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s="20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s="20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s="20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s="20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s="20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s="20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s="20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s="20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s="20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s="20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s="20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s="20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s="20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s="20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s="20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s="20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s="20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s="20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s="20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s="20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s="20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s="20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s="20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s="20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s="20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s="20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s="20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s="20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s="20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s="20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s="20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s="20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s="20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s="20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s="20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s="20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s="20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s="20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s="20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s="20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s="20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s="20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s="20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s="20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s="20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s="20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s="20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s="20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s="20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s="20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s="20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s="20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s="20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s="20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s="20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s="20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s="20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s="20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s="20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s="20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s="20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s="20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s="20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s="20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s="20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s="20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s="20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s="20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s="20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s="20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s="20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s="20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s="20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s="20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s="20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s="20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s="20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s="20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s="20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s="20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s="20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s="20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s="20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s="20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s="20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s="20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s="20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s="20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s="20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s="20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s="20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s="20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s="20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s="20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s="20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s="20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s="20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s="20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s="20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s="20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s="20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s="20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s="20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s="20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s="20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s="20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s="20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s="20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s="20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s="20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s="20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s="20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s="20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s="20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s="20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s="20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s="20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s="20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s="20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s="20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s="20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s="20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s="20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s="20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s="20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s="20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s="20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s="20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s="20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s="20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s="20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s="20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s="20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s="20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s="20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s="20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s="20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s="20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s="20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s="20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s="20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s="20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s="20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s="20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s="20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s="20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s="20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s="20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s="20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s="20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s="20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s="20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s="20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s="20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s="20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s="20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s="20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s="20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s="20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s="20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s="20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s="20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s="20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s="20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s="20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s="20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s="20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s="20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s="20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s="20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s="20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s="20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s="20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s="20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s="20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s="20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s="20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s="20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s="20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s="20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s="20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s="20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s="20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s="20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s="20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s="20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s="20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s="20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s="20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s="20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s="20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s="20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s="20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s="20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s="20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s="20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s="20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s="20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s="20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s="20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s="20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s="20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s="20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s="20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s="20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s="20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s="20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s="20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s="20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s="20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s="20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s="20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s="20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s="20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s="20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s="20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s="20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s="20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s="20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s="20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s="20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s="20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s="20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s="20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s="20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s="20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s="20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s="20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s="20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s="20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s="20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s="20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s="20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s="20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s="20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s="20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s="20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s="20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s="20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s="20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s="20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s="20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s="20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s="20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s="20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s="20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s="20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s="20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s="20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s="20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s="20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s="20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s="20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s="20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s="20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s="20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s="20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s="20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s="20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s="20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s="20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s="20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s="20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s="20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s="20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s="20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s="20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s="20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s="20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s="20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s="20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s="20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s="20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s="20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s="20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s="20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s="20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s="20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s="20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s="20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s="20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s="20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s="20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s="20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s="20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s="20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s="20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s="20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s="20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s="20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s="20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s="20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s="20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s="20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s="20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s="20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s="20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s="20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s="20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s="20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s="20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s="20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s="20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s="20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s="20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s="20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s="20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s="20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s="20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s="20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s="20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s="20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s="20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s="20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s="20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s="20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s="20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s="20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s="20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s="20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s="20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s="20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s="20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s="20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s="20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s="20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s="20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s="20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s="20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s="20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s="20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s="20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s="20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s="20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s="20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s="20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s="20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s="20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s="20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s="20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s="20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s="20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s="20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s="20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s="20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s="20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s="20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s="20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s="20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s="20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s="20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s="20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s="20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s="20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s="20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s="20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s="20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s="20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s="20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s="20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s="20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s="20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s="20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s="20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s="20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s="20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s="20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s="20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s="20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s="20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s="20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s="20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s="20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s="20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s="20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s="20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s="20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s="20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s="20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s="20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s="20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s="20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s="20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s="20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s="20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s="20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s="20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s="20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s="20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s="20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s="20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s="20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s="20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s="20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s="20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s="20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s="20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s="20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s="20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s="20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s="20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s="20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s="20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s="20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s="20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s="20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s="20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s="20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s="20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s="20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s="20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s="20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s="20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s="20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s="20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s="20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s="20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s="20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s="20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s="20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s="20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s="20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s="20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s="20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s="20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s="20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s="20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s="20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s="20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s="20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s="20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s="20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s="20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s="20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s="20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s="20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s="20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s="20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s="20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s="20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s="20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s="20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s="20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s="20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s="20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s="20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s="20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s="20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s="20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s="20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s="20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s="20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s="20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s="20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s="20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s="20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s="20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s="20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s="20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s="20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s="20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s="20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s="20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s="20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s="20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s="20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s="20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s="20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s="20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s="20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s="20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s="20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s="20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s="20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s="20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s="20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s="20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s="20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s="20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s="20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s="20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s="20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s="20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s="20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s="20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s="20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s="20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s="20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s="20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s="20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s="20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s="20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s="20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s="20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s="20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s="20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s="20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s="20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s="20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s="20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s="20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s="20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s="20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s="20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s="20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s="20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s="20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s="20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s="20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s="20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s="20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s="20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s="20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s="20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s="20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s="20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s="20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s="20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s="20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s="20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s="20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s="20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s="20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s="20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s="20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s="20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s="20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s="20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s="20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s="20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s="20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s="20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s="20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s="20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s="20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s="20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s="20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s="20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s="20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s="20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s="20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s="20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s="20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s="20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s="20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s="20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s="20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s="20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s="20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s="20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s="20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s="20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s="20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s="20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s="20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s="20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s="20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s="20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s="20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s="20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s="20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s="20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s="20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s="20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s="20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s="20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s="20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s="20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s="20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s="20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s="20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s="20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s="20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s="20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s="20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s="20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s="20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s="20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s="20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s="20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s="20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s="20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s="20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s="20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s="20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s="20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s="20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s="20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s="20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s="20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s="20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s="20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s="20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s="20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s="20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s="20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s="20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s="20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s="20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s="20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s="20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s="20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s="20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s="20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s="20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s="20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s="20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s="20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s="20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s="20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s="20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s="20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s="20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s="20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s="20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s="20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s="20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s="20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s="20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s="20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s="20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s="20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s="20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s="20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s="20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s="20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s="20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s="20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s="20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s="20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s="20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s="20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s="20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s="20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s="20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s="20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s="20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s="20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s="20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s="20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s="20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s="20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s="20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s="20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s="20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s="20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s="20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s="20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s="20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s="20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s="20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s="20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s="20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s="20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s="20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s="20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s="20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s="20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s="20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s="20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s="20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s="20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s="20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s="20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s="20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s="20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s="20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s="20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s="20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s="20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s="20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s="20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s="20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s="20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s="20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s="20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s="20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s="200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s="200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s="200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s="200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s="200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s="200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s="200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s="200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s="200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s="200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s="200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s="200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s="200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s="200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s="200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s="200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s="200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s="200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s="200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s="200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s="200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s="200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s="200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s="200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s="200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s="200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s="200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s="200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s="200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s="200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s="200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s="200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s="200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s="200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s="200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s="200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s="200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s="200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s="200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s="200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s="200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s="200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s="200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s="200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s="200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s="200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s="200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s="200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s="200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s="200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s="200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s="200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s="200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s="200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s="200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s="200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s="200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s="200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s="200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s="200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s="200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s="200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s="200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s="200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s="200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s="200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s="200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s="200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s="200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s="200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s="200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s="200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s="200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s="200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s="200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s="200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s="200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s="200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s="200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s="200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s="200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s="200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s="200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s="200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s="200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s="200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s="200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s="200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s="200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s="200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s="200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s="200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s="200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s="200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s="200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s="200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s="200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s="200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s="200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s="200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s="200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s="200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s="200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s="200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s="200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s="200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s="200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s="200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s="200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s="200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s="200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s="200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s="200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s="200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s="200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s="200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s="200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s="200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s="200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s="200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s="200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s="200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s="200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s="200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s="200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s="200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s="200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s="200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s="200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s="200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s="200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s="200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s="200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s="200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s="200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s="200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s="200" customFormat="1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s="200" customFormat="1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s="200" customFormat="1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s="200" customFormat="1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s="200" customFormat="1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s="200" customFormat="1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s="200" customFormat="1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s="200" customFormat="1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s="200" customFormat="1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s="200" customFormat="1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s="200" customFormat="1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s="200" customFormat="1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s="200" customFormat="1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s="200" customFormat="1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s="200" customFormat="1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s="200" customFormat="1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s="200" customFormat="1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s="200" customFormat="1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s="200" customFormat="1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s="200" customFormat="1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s="200" customFormat="1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s="200" customFormat="1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s="200" customFormat="1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s="200" customFormat="1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s="200" customFormat="1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s="200" customFormat="1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s="200" customFormat="1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s="200" customFormat="1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s="200" customFormat="1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s="200" customFormat="1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s="200" customFormat="1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s="200" customFormat="1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s="200" customFormat="1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s="200" customFormat="1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s="200" customFormat="1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s="200" customFormat="1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s="200" customFormat="1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s="200" customFormat="1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s="200" customFormat="1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s="200" customFormat="1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s="200" customFormat="1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s="200" customFormat="1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s="200" customFormat="1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s="200" customFormat="1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s="200" customFormat="1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s="200" customFormat="1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s="200" customFormat="1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s="200" customFormat="1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s="200" customFormat="1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s="200" customFormat="1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s="200" customFormat="1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s="200" customFormat="1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s="200" customFormat="1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s="200" customFormat="1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s="200" customFormat="1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s="200" customFormat="1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s="200" customFormat="1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s="200" customFormat="1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s="200" customFormat="1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s="200" customFormat="1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s="200" customFormat="1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s="200" customFormat="1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s="200" customFormat="1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s="200" customFormat="1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s="200" customFormat="1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s="200" customFormat="1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s="200" customFormat="1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s="200" customFormat="1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s="200" customFormat="1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s="200" customFormat="1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s="200" customFormat="1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s="200" customFormat="1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s="200" customFormat="1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s="200" customFormat="1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s="200" customFormat="1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s="200" customFormat="1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s="200" customFormat="1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s="200" customFormat="1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s="200" customFormat="1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s="200" customFormat="1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s="200" customFormat="1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s="200" customFormat="1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s="200" customFormat="1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s="200" customFormat="1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s="200" customFormat="1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s="200" customFormat="1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s="200" customFormat="1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s="200" customFormat="1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s="200" customFormat="1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s="200" customFormat="1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s="200" customFormat="1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s="200" customFormat="1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s="200" customFormat="1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s="200" customFormat="1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s="200" customFormat="1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s="200" customFormat="1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s="200" customFormat="1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s="200" customFormat="1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s="200" customFormat="1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s="200" customFormat="1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s="200" customFormat="1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s="200" customFormat="1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s="200" customFormat="1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s="200" customFormat="1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s="200" customFormat="1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s="200" customFormat="1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s="200" customFormat="1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s="200" customFormat="1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s="200" customFormat="1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s="200" customFormat="1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s="200" customFormat="1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s="200" customFormat="1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s="200" customFormat="1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s="200" customFormat="1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s="200" customFormat="1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s="200" customFormat="1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s="200" customFormat="1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s="200" customFormat="1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s="200" customFormat="1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s="200" customFormat="1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s="200" customFormat="1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s="200" customFormat="1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s="200" customFormat="1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s="200" customFormat="1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s="200" customFormat="1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s="200" customFormat="1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s="200" customFormat="1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s="200" customFormat="1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s="200" customFormat="1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s="200" customFormat="1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s="200" customFormat="1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s="200" customFormat="1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s="200" customFormat="1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s="200" customFormat="1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s="200" customFormat="1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s="200" customFormat="1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s="200" customFormat="1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s="200" customFormat="1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s="200" customFormat="1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s="200" customFormat="1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s="200" customFormat="1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s="200" customFormat="1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s="200" customFormat="1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s="200" customFormat="1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s="200" customFormat="1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s="200" customFormat="1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s="200" customFormat="1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s="200" customFormat="1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s="200" customFormat="1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s="200" customFormat="1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s="200" customFormat="1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s="200" customFormat="1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s="200" customFormat="1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s="200" customFormat="1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s="200" customFormat="1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s="200" customFormat="1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s="200" customFormat="1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s="200" customFormat="1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s="200" customFormat="1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s="200" customFormat="1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s="200" customFormat="1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s="200" customFormat="1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s="200" customFormat="1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s="200" customFormat="1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s="200" customFormat="1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s="200" customFormat="1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s="200" customFormat="1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s="200" customFormat="1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s="200" customFormat="1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s="200" customFormat="1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s="200" customFormat="1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s="200" customFormat="1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s="200" customFormat="1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s="200" customFormat="1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s="200" customFormat="1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s="200" customFormat="1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s="200" customFormat="1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s="200" customFormat="1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s="200" customFormat="1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s="200" customFormat="1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s="200" customFormat="1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s="200" customFormat="1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s="200" customFormat="1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s="200" customFormat="1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s="200" customFormat="1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s="200" customFormat="1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s="200" customFormat="1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s="200" customFormat="1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s="200" customFormat="1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s="200" customFormat="1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s="200" customFormat="1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s="200" customFormat="1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s="200" customFormat="1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s="200" customFormat="1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s="200" customFormat="1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s="200" customFormat="1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s="200" customFormat="1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s="200" customFormat="1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s="200" customFormat="1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s="200" customFormat="1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s="200" customFormat="1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s="200" customFormat="1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s="200" customFormat="1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s="200" customFormat="1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s="200" customFormat="1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s="200" customFormat="1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s="200" customFormat="1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s="200" customFormat="1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s="200" customFormat="1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s="200" customFormat="1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s="200" customFormat="1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s="200" customFormat="1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s="200" customFormat="1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s="200" customFormat="1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s="200" customFormat="1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s="200" customFormat="1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s="200" customFormat="1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s="200" customFormat="1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s="200" customFormat="1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s="200" customFormat="1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s="200" customFormat="1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s="200" customFormat="1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s="200" customFormat="1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s="200" customFormat="1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s="200" customFormat="1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s="200" customFormat="1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s="200" customFormat="1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s="200" customFormat="1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s="200" customFormat="1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s="200" customFormat="1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s="200" customFormat="1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s="200" customFormat="1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s="200" customFormat="1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s="200" customFormat="1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s="200" customFormat="1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s="200" customFormat="1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s="200" customFormat="1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s="200" customFormat="1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s="200" customFormat="1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s="200" customFormat="1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s="200" customFormat="1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s="200" customFormat="1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s="200" customFormat="1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s="200" customFormat="1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s="200" customFormat="1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s="200" customFormat="1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s="200" customFormat="1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s="200" customFormat="1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s="200" customFormat="1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s="200" customFormat="1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s="200" customFormat="1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s="200" customFormat="1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s="200" customFormat="1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s="200" customFormat="1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s="200" customFormat="1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s="200" customFormat="1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s="200" customFormat="1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s="200" customFormat="1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s="200" customFormat="1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s="200" customFormat="1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s="200" customFormat="1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s="200" customFormat="1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s="200" customFormat="1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s="200" customFormat="1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s="200" customFormat="1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s="200" customFormat="1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s="200" customFormat="1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s="200" customFormat="1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s="200" customFormat="1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s="200" customFormat="1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s="200" customFormat="1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s="200" customFormat="1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s="200" customFormat="1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s="200" customFormat="1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s="200" customFormat="1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s="200" customFormat="1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s="200" customFormat="1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s="200" customFormat="1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s="200" customFormat="1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s="200" customFormat="1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s="200" customFormat="1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s="200" customFormat="1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s="200" customFormat="1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s="200" customFormat="1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s="200" customFormat="1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s="200" customFormat="1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s="200" customFormat="1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s="200" customFormat="1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s="200" customFormat="1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s="200" customFormat="1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s="200" customFormat="1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s="200" customFormat="1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s="200" customFormat="1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s="200" customFormat="1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s="200" customFormat="1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s="200" customFormat="1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s="200" customFormat="1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s="200" customFormat="1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s="200" customFormat="1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s="200" customFormat="1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s="200" customFormat="1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s="200" customFormat="1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s="200" customFormat="1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s="200" customFormat="1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s="200" customFormat="1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s="200" customFormat="1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s="200" customFormat="1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s="200" customFormat="1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s="200" customFormat="1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s="200" customFormat="1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s="200" customFormat="1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s="200" customFormat="1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s="200" customFormat="1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s="200" customFormat="1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s="200" customFormat="1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s="200" customFormat="1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s="200" customFormat="1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s="200" customFormat="1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s="200" customFormat="1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s="200" customFormat="1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s="200" customFormat="1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s="200" customFormat="1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s="200" customFormat="1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s="200" customFormat="1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s="200" customFormat="1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s="200" customFormat="1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s="200" customFormat="1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s="200" customFormat="1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s="200" customFormat="1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s="200" customFormat="1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s="200" customFormat="1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s="200" customFormat="1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s="200" customFormat="1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s="200" customFormat="1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s="200" customFormat="1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s="200" customFormat="1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s="200" customFormat="1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s="200" customFormat="1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s="200" customFormat="1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s="200" customFormat="1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s="200" customFormat="1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s="200" customFormat="1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s="200" customFormat="1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s="200" customFormat="1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s="200" customFormat="1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s="200" customFormat="1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s="200" customFormat="1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s="200" customFormat="1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s="200" customFormat="1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s="200" customFormat="1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s="200" customFormat="1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s="200" customFormat="1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s="200" customFormat="1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s="200" customFormat="1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s="200" customFormat="1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s="200" customFormat="1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s="200" customFormat="1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s="200" customFormat="1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s="200" customFormat="1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s="200" customFormat="1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s="200" customFormat="1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s="200" customFormat="1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s="200" customFormat="1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s="200" customFormat="1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s="200" customFormat="1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s="200" customFormat="1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s="200" customFormat="1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s="200" customFormat="1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s="200" customFormat="1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s="200" customFormat="1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s="200" customFormat="1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s="200" customFormat="1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s="200" customFormat="1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s="200" customFormat="1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s="200" customFormat="1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s="200" customFormat="1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s="200" customFormat="1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s="200" customFormat="1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s="200" customFormat="1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s="200" customFormat="1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s="200" customFormat="1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s="200" customFormat="1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s="200" customFormat="1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s="200" customFormat="1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s="200" customFormat="1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s="200" customFormat="1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s="200" customFormat="1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s="200" customFormat="1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s="200" customFormat="1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s="200" customFormat="1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s="200" customFormat="1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s="200" customFormat="1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s="200" customFormat="1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s="200" customFormat="1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s="200" customFormat="1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s="200" customFormat="1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s="200" customFormat="1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s="200" customFormat="1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s="200" customFormat="1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s="200" customFormat="1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s="200" customFormat="1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s="200" customFormat="1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s="200" customFormat="1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s="200" customFormat="1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s="200" customFormat="1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s="200" customFormat="1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s="200" customFormat="1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s="200" customFormat="1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s="200" customFormat="1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s="200" customFormat="1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s="200" customFormat="1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s="200" customFormat="1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s="200" customFormat="1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s="200" customFormat="1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s="200" customFormat="1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s="200" customFormat="1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s="200" customFormat="1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s="200" customFormat="1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s="200" customFormat="1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s="200" customFormat="1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s="200" customFormat="1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s="200" customFormat="1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s="200" customFormat="1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s="200" customFormat="1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s="200" customFormat="1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s="200" customFormat="1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s="200" customFormat="1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s="200" customFormat="1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s="200" customFormat="1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s="200" customFormat="1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s="200" customFormat="1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s="200" customFormat="1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s="200" customFormat="1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s="200" customFormat="1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s="200" customFormat="1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s="200" customFormat="1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s="200" customFormat="1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s="200" customFormat="1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s="200" customFormat="1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s="200" customFormat="1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s="200" customFormat="1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s="200" customFormat="1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s="200" customFormat="1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s="200" customFormat="1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s="200" customFormat="1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s="200" customFormat="1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s="200" customFormat="1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s="200" customFormat="1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s="200" customFormat="1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s="200" customFormat="1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s="200" customFormat="1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s="200" customFormat="1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s="200" customFormat="1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s="200" customFormat="1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s="200" customFormat="1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s="200" customFormat="1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s="200" customFormat="1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s="200" customFormat="1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s="200" customFormat="1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s="200" customFormat="1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s="200" customFormat="1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s="200" customFormat="1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s="200" customFormat="1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s="200" customFormat="1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s="200" customFormat="1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s="200" customFormat="1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s="200" customFormat="1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s="200" customFormat="1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s="200" customFormat="1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s="200" customFormat="1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s="200" customFormat="1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s="200" customFormat="1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s="200" customFormat="1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s="200" customFormat="1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s="200" customFormat="1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s="200" customFormat="1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s="200" customFormat="1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s="200" customFormat="1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s="200" customFormat="1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s="200" customFormat="1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s="200" customFormat="1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s="200" customFormat="1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s="200" customFormat="1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s="200" customFormat="1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s="200" customFormat="1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s="200" customFormat="1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s="200" customFormat="1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s="200" customFormat="1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s="200" customFormat="1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s="200" customFormat="1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s="200" customFormat="1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s="200" customFormat="1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s="200" customFormat="1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s="200" customFormat="1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s="200" customFormat="1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s="200" customFormat="1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s="200" customFormat="1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s="200" customFormat="1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s="200" customFormat="1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s="200" customFormat="1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s="200" customFormat="1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s="200" customFormat="1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s="200" customFormat="1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s="200" customFormat="1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s="200" customFormat="1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s="200" customFormat="1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s="200" customFormat="1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s="200" customFormat="1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s="200" customFormat="1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s="200" customFormat="1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s="200" customFormat="1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s="200" customFormat="1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s="200" customFormat="1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s="200" customFormat="1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s="200" customFormat="1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s="200" customFormat="1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s="200" customFormat="1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s="200" customFormat="1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s="200" customFormat="1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s="200" customFormat="1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s="200" customFormat="1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s="200" customFormat="1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s="200" customFormat="1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s="200" customFormat="1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s="200" customFormat="1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s="200" customFormat="1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s="200" customFormat="1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s="200" customFormat="1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s="200" customFormat="1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s="200" customFormat="1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s="200" customFormat="1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s="200" customFormat="1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s="200" customFormat="1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s="200" customFormat="1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s="200" customFormat="1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s="200" customFormat="1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s="200" customFormat="1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s="200" customFormat="1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s="200" customFormat="1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s="200" customFormat="1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s="200" customFormat="1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s="200" customFormat="1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s="200" customFormat="1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s="200" customFormat="1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s="200" customFormat="1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s="200" customFormat="1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s="200" customFormat="1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s="200" customFormat="1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s="200" customFormat="1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s="200" customFormat="1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s="200" customFormat="1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s="200" customFormat="1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s="200" customFormat="1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s="200" customFormat="1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s="200" customFormat="1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s="200" customFormat="1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s="200" customFormat="1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s="200" customFormat="1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s="200" customFormat="1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s="200" customFormat="1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s="200" customFormat="1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s="200" customFormat="1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s="200" customFormat="1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s="200" customFormat="1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s="200" customFormat="1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s="200" customFormat="1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s="200" customFormat="1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s="200" customFormat="1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s="200" customFormat="1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s="200" customFormat="1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s="200" customFormat="1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s="200" customFormat="1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s="200" customFormat="1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s="200" customFormat="1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s="200" customFormat="1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s="200" customFormat="1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s="200" customFormat="1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s="200" customFormat="1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s="200" customFormat="1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s="200" customFormat="1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s="200" customFormat="1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s="200" customFormat="1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s="200" customFormat="1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s="200" customFormat="1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s="200" customFormat="1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s="200" customFormat="1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s="200" customFormat="1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s="200" customFormat="1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s="200" customFormat="1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s="200" customFormat="1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s="200" customFormat="1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s="200" customFormat="1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s="200" customFormat="1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s="200" customFormat="1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s="200" customFormat="1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s="200" customFormat="1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s="200" customFormat="1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s="200" customFormat="1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s="200" customFormat="1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s="200" customFormat="1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s="200" customFormat="1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s="200" customFormat="1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s="200" customFormat="1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s="200" customFormat="1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s="200" customFormat="1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s="200" customFormat="1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s="200" customFormat="1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s="200" customFormat="1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s="200" customFormat="1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s="200" customFormat="1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s="200" customFormat="1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s="200" customFormat="1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s="200" customFormat="1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s="200" customFormat="1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s="200" customFormat="1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s="200" customFormat="1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s="200" customFormat="1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s="200" customFormat="1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s="200" customFormat="1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s="200" customFormat="1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s="200" customFormat="1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s="200" customFormat="1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s="200" customFormat="1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s="200" customFormat="1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s="200" customFormat="1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s="200" customFormat="1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s="200" customFormat="1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s="200" customFormat="1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s="200" customFormat="1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s="200" customFormat="1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s="200" customFormat="1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s="200" customFormat="1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s="200" customFormat="1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s="200" customFormat="1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s="200" customFormat="1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s="200" customFormat="1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s="200" customFormat="1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s="200" customFormat="1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s="200" customFormat="1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s="200" customFormat="1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s="200" customFormat="1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s="200" customFormat="1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s="200" customFormat="1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s="200" customFormat="1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s="200" customFormat="1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s="200" customFormat="1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s="200" customFormat="1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s="200" customFormat="1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s="200" customFormat="1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s="200" customFormat="1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s="200" customFormat="1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s="200" customFormat="1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s="200" customFormat="1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s="200" customFormat="1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s="200" customFormat="1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s="200" customFormat="1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s="200" customFormat="1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s="200" customFormat="1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s="200" customFormat="1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s="200" customFormat="1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s="200" customFormat="1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s="200" customFormat="1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s="200" customFormat="1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s="200" customFormat="1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s="200" customFormat="1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s="200" customFormat="1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s="200" customFormat="1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s="200" customFormat="1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s="200" customFormat="1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s="200" customFormat="1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s="200" customFormat="1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s="200" customFormat="1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s="200" customFormat="1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s="200" customFormat="1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s="200" customFormat="1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s="200" customFormat="1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s="200" customFormat="1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s="200" customFormat="1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s="200" customFormat="1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s="200" customFormat="1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s="200" customFormat="1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s="200" customFormat="1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s="200" customFormat="1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s="200" customFormat="1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s="200" customFormat="1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s="200" customFormat="1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s="200" customFormat="1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s="200" customFormat="1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s="200" customFormat="1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s="200" customFormat="1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s="200" customFormat="1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s="200" customFormat="1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s="200" customFormat="1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s="200" customFormat="1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s="200" customFormat="1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s="200" customFormat="1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s="200" customFormat="1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s="200" customFormat="1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s="200" customFormat="1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s="200" customFormat="1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s="200" customFormat="1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s="200" customFormat="1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s="200" customFormat="1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s="200" customFormat="1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s="200" customFormat="1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s="200" customFormat="1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s="200" customFormat="1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s="200" customFormat="1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s="200" customFormat="1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s="200" customFormat="1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s="200" customFormat="1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s="200" customFormat="1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s="200" customFormat="1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s="200" customFormat="1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s="200" customFormat="1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s="200" customFormat="1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s="200" customFormat="1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s="200" customFormat="1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s="200" customFormat="1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s="200" customFormat="1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s="200" customFormat="1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s="200" customFormat="1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s="200" customFormat="1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s="200" customFormat="1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s="200" customFormat="1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s="200" customFormat="1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s="200" customFormat="1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s="200" customFormat="1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s="200" customFormat="1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s="200" customFormat="1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s="200" customFormat="1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s="200" customFormat="1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s="200" customFormat="1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s="200" customFormat="1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s="200" customFormat="1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s="200" customFormat="1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s="200" customFormat="1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s="200" customFormat="1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s="200" customFormat="1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s="200" customFormat="1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s="200" customFormat="1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s="200" customFormat="1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s="200" customFormat="1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s="200" customFormat="1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s="200" customFormat="1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s="200" customFormat="1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s="200" customFormat="1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s="200" customFormat="1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s="200" customFormat="1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s="200" customFormat="1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s="200" customFormat="1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s="200" customFormat="1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s="200" customFormat="1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s="200" customFormat="1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s="200" customFormat="1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s="200" customFormat="1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s="200" customFormat="1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s="200" customFormat="1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s="200" customFormat="1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s="200" customFormat="1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s="200" customFormat="1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s="200" customFormat="1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s="200" customFormat="1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s="200" customFormat="1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s="200" customFormat="1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s="200" customFormat="1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s="200" customFormat="1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s="200" customFormat="1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s="200" customFormat="1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s="200" customFormat="1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s="200" customFormat="1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s="200" customFormat="1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s="200" customFormat="1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s="200" customFormat="1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s="200" customFormat="1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s="200" customFormat="1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s="200" customFormat="1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s="200" customFormat="1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s="200" customFormat="1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s="200" customFormat="1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s="200" customFormat="1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s="200" customFormat="1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s="200" customFormat="1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s="200" customFormat="1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s="200" customFormat="1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s="200" customFormat="1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s="200" customFormat="1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s="200" customFormat="1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s="200" customFormat="1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s="200" customFormat="1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s="200" customFormat="1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s="200" customFormat="1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s="200" customFormat="1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s="200" customFormat="1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s="200" customFormat="1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s="200" customFormat="1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s="200" customFormat="1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s="200" customFormat="1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s="200" customFormat="1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s="200" customFormat="1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s="200" customFormat="1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s="200" customFormat="1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s="200" customFormat="1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s="200" customFormat="1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s="200" customFormat="1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s="200" customFormat="1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s="200" customFormat="1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s="200" customFormat="1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s="200" customFormat="1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s="200" customFormat="1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s="200" customFormat="1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s="200" customFormat="1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s="200" customFormat="1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s="200" customFormat="1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s="200" customFormat="1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s="200" customFormat="1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s="200" customFormat="1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s="200" customFormat="1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s="200" customFormat="1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s="200" customFormat="1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s="200" customFormat="1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s="200" customFormat="1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s="200" customFormat="1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s="200" customFormat="1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s="200" customFormat="1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s="200" customFormat="1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s="200" customFormat="1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s="200" customFormat="1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s="200" customFormat="1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s="200" customFormat="1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s="200" customFormat="1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s="200" customFormat="1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s="200" customFormat="1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s="200" customFormat="1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s="200" customFormat="1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s="200" customFormat="1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s="200" customFormat="1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s="200" customFormat="1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s="200" customFormat="1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s="200" customFormat="1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s="200" customFormat="1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s="200" customFormat="1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s="200" customFormat="1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s="200" customFormat="1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s="200" customFormat="1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s="200" customFormat="1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s="200" customFormat="1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s="200" customFormat="1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s="200" customFormat="1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s="200" customFormat="1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s="200" customFormat="1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s="200" customFormat="1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s="200" customFormat="1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s="200" customFormat="1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s="200" customFormat="1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s="200" customFormat="1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s="200" customFormat="1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s="200" customFormat="1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s="200" customFormat="1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s="200" customFormat="1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s="200" customFormat="1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s="200" customFormat="1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s="200" customFormat="1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s="200" customFormat="1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s="200" customFormat="1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s="200" customFormat="1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s="200" customFormat="1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s="200" customFormat="1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s="200" customFormat="1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s="200" customFormat="1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s="200" customFormat="1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s="200" customFormat="1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s="200" customFormat="1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s="200" customFormat="1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s="200" customFormat="1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s="200" customFormat="1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s="200" customFormat="1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s="200" customFormat="1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s="200" customFormat="1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s="200" customFormat="1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s="200" customFormat="1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s="200" customFormat="1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s="200" customFormat="1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s="200" customFormat="1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s="200" customFormat="1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s="200" customFormat="1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s="200" customFormat="1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s="200" customFormat="1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s="200" customFormat="1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s="200" customFormat="1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s="200" customFormat="1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s="200" customFormat="1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s="200" customFormat="1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s="200" customFormat="1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s="200" customFormat="1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s="200" customFormat="1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s="200" customFormat="1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s="200" customFormat="1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s="200" customFormat="1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s="200" customFormat="1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s="200" customFormat="1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s="200" customFormat="1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s="200" customFormat="1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s="200" customFormat="1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s="200" customFormat="1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s="200" customFormat="1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s="200" customFormat="1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s="200" customFormat="1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s="200" customFormat="1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s="200" customFormat="1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s="200" customFormat="1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s="200" customFormat="1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s="200" customFormat="1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s="200" customFormat="1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s="200" customFormat="1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s="200" customFormat="1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s="200" customFormat="1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s="200" customFormat="1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s="200" customFormat="1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s="200" customFormat="1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s="200" customFormat="1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s="200" customFormat="1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s="200" customFormat="1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s="200" customFormat="1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s="200" customFormat="1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s="200" customFormat="1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s="200" customFormat="1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s="200" customFormat="1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s="200" customFormat="1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s="200" customFormat="1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s="200" customFormat="1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s="200" customFormat="1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s="200" customFormat="1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s="200" customFormat="1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s="200" customFormat="1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s="200" customFormat="1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s="200" customFormat="1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s="200" customFormat="1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s="200" customFormat="1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s="200" customFormat="1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s="200" customFormat="1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s="200" customFormat="1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s="200" customFormat="1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s="200" customFormat="1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s="200" customFormat="1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s="200" customFormat="1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s="200" customFormat="1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s="200" customFormat="1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s="200" customFormat="1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s="200" customFormat="1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s="200" customFormat="1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s="200" customFormat="1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s="200" customFormat="1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s="200" customFormat="1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s="200" customFormat="1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s="200" customFormat="1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s="200" customFormat="1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s="200" customFormat="1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s="200" customFormat="1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s="200" customFormat="1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s="200" customFormat="1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s="200" customFormat="1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s="200" customFormat="1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s="200" customFormat="1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s="200" customFormat="1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s="200" customFormat="1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s="200" customFormat="1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s="200" customFormat="1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s="200" customFormat="1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s="200" customFormat="1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s="200" customFormat="1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s="200" customFormat="1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s="200" customFormat="1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s="200" customFormat="1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s="200" customFormat="1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s="200" customFormat="1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s="200" customFormat="1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s="200" customFormat="1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s="200" customFormat="1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s="200" customFormat="1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s="200" customFormat="1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s="200" customFormat="1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s="200" customFormat="1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s="200" customFormat="1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s="200" customFormat="1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s="200" customFormat="1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s="200" customFormat="1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s="200" customFormat="1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s="200" customFormat="1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s="200" customFormat="1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s="200" customFormat="1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s="200" customFormat="1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s="200" customFormat="1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s="200" customFormat="1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s="200" customFormat="1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s="200" customFormat="1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s="200" customFormat="1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s="200" customFormat="1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s="200" customFormat="1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s="200" customFormat="1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s="200" customFormat="1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s="200" customFormat="1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s="200" customFormat="1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s="200" customFormat="1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s="200" customFormat="1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s="200" customFormat="1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s="200" customFormat="1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s="200" customFormat="1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s="200" customFormat="1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s="200" customFormat="1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s="200" customFormat="1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s="200" customFormat="1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s="200" customFormat="1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s="200" customFormat="1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s="200" customFormat="1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s="200" customFormat="1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s="200" customFormat="1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s="200" customFormat="1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s="200" customFormat="1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s="200" customFormat="1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s="200" customFormat="1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s="200" customFormat="1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s="200" customFormat="1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s="200" customFormat="1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s="200" customFormat="1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s="200" customFormat="1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s="200" customFormat="1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s="200" customFormat="1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s="200" customFormat="1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s="200" customFormat="1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s="200" customFormat="1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s="200" customFormat="1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s="200" customFormat="1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s="200" customFormat="1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s="200" customFormat="1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s="200" customFormat="1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s="200" customFormat="1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s="200" customFormat="1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s="200" customFormat="1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s="200" customFormat="1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s="200" customFormat="1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s="200" customFormat="1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s="200" customFormat="1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s="200" customFormat="1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s="200" customFormat="1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s="200" customFormat="1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s="200" customFormat="1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s="200" customFormat="1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s="200" customFormat="1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s="200" customFormat="1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s="200" customFormat="1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s="200" customFormat="1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s="200" customFormat="1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s="200" customFormat="1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s="200" customFormat="1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s="200" customFormat="1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s="200" customFormat="1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s="200" customFormat="1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s="200" customFormat="1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s="200" customFormat="1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s="200" customFormat="1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s="200" customFormat="1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s="200" customFormat="1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s="200" customFormat="1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s="200" customFormat="1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s="200" customFormat="1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s="200" customFormat="1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s="200" customFormat="1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s="200" customFormat="1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s="200" customFormat="1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s="200" customFormat="1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s="200" customFormat="1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s="200" customFormat="1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s="200" customFormat="1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s="200" customFormat="1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s="200" customFormat="1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s="200" customFormat="1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s="200" customFormat="1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s="200" customFormat="1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s="200" customFormat="1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s="200" customFormat="1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s="200" customFormat="1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s="200" customFormat="1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s="200" customFormat="1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s="200" customFormat="1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s="200" customFormat="1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s="200" customFormat="1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s="200" customFormat="1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s="200" customFormat="1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s="200" customFormat="1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s="200" customFormat="1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s="200" customFormat="1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s="200" customFormat="1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s="200" customFormat="1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s="200" customFormat="1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s="200" customFormat="1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s="200" customFormat="1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s="200" customFormat="1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s="200" customFormat="1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s="200" customFormat="1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s="200" customFormat="1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s="200" customFormat="1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s="200" customFormat="1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s="200" customFormat="1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s="200" customFormat="1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s="200" customFormat="1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s="200" customFormat="1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s="200" customFormat="1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s="200" customFormat="1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s="200" customFormat="1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s="200" customFormat="1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s="200" customFormat="1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s="200" customFormat="1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s="200" customFormat="1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s="200" customFormat="1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s="200" customFormat="1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s="200" customFormat="1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s="200" customFormat="1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s="200" customFormat="1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s="200" customFormat="1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s="200" customFormat="1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s="200" customFormat="1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s="200" customFormat="1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s="200" customFormat="1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s="200" customFormat="1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s="200" customFormat="1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s="200" customFormat="1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s="200" customFormat="1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s="200" customFormat="1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s="200" customFormat="1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s="200" customFormat="1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s="200" customFormat="1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s="200" customFormat="1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s="200" customFormat="1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s="200" customFormat="1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s="200" customFormat="1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s="200" customFormat="1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s="200" customFormat="1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s="200" customFormat="1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s="200" customFormat="1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s="200" customFormat="1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s="200" customFormat="1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s="200" customFormat="1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s="200" customFormat="1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s="200" customFormat="1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s="200" customFormat="1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s="200" customFormat="1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s="200" customFormat="1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s="200" customFormat="1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s="200" customFormat="1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s="200" customFormat="1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s="200" customFormat="1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s="200" customFormat="1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s="200" customFormat="1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s="200" customFormat="1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s="200" customFormat="1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s="200" customFormat="1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s="200" customFormat="1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s="200" customFormat="1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s="200" customFormat="1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s="200" customFormat="1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s="200" customFormat="1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s="200" customFormat="1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s="200" customFormat="1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s="200" customFormat="1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s="200" customFormat="1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s="200" customFormat="1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s="200" customFormat="1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s="200" customFormat="1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s="200" customFormat="1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s="200" customFormat="1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s="200" customFormat="1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s="200" customFormat="1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s="200" customFormat="1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s="200" customFormat="1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s="200" customFormat="1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s="200" customFormat="1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s="200" customFormat="1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s="200" customFormat="1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s="200" customFormat="1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s="200" customFormat="1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s="200" customFormat="1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s="200" customFormat="1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s="200" customFormat="1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s="200" customFormat="1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s="200" customFormat="1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s="200" customFormat="1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s="200" customFormat="1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s="200" customFormat="1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s="200" customFormat="1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s="200" customFormat="1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s="200" customFormat="1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s="200" customFormat="1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s="200" customFormat="1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s="200" customFormat="1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s="200" customFormat="1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s="200" customFormat="1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s="200" customFormat="1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s="200" customFormat="1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s="200" customFormat="1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s="200" customFormat="1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s="200" customFormat="1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s="200" customFormat="1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s="200" customFormat="1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s="200" customFormat="1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s="200" customFormat="1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s="200" customFormat="1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s="200" customFormat="1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s="200" customFormat="1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s="200" customFormat="1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s="200" customFormat="1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s="200" customFormat="1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s="200" customFormat="1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s="200" customFormat="1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s="200" customFormat="1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s="200" customFormat="1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s="200" customFormat="1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s="200" customFormat="1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s="200" customFormat="1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s="200" customFormat="1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s="200" customFormat="1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s="200" customFormat="1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s="200" customFormat="1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s="200" customFormat="1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s="200" customFormat="1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s="200" customFormat="1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s="200" customFormat="1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s="200" customFormat="1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s="200" customFormat="1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s="200" customFormat="1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s="200" customFormat="1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s="200" customFormat="1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s="200" customFormat="1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s="200" customFormat="1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s="200" customFormat="1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s="200" customFormat="1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s="200" customFormat="1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s="200" customFormat="1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s="200" customFormat="1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s="200" customFormat="1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s="200" customFormat="1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s="200" customFormat="1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s="200" customFormat="1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s="200" customFormat="1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s="200" customFormat="1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s="200" customFormat="1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s="200" customFormat="1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s="200" customFormat="1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s="200" customFormat="1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s="200" customFormat="1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s="200" customFormat="1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s="200" customFormat="1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s="200" customFormat="1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s="200" customFormat="1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s="200" customFormat="1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s="200" customFormat="1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s="200" customFormat="1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s="200" customFormat="1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s="200" customFormat="1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s="200" customFormat="1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s="200" customFormat="1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s="200" customFormat="1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s="200" customFormat="1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s="200" customFormat="1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s="200" customFormat="1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s="200" customFormat="1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s="200" customFormat="1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s="200" customFormat="1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s="200" customFormat="1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s="200" customFormat="1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s="200" customFormat="1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s="200" customFormat="1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s="200" customFormat="1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s="200" customFormat="1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s="200" customFormat="1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s="200" customFormat="1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s="200" customFormat="1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s="200" customFormat="1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s="200" customFormat="1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s="200" customFormat="1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s="200" customFormat="1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s="200" customFormat="1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s="200" customFormat="1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s="200" customFormat="1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s="200" customFormat="1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s="200" customFormat="1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s="200" customFormat="1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s="200" customFormat="1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s="200" customFormat="1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s="200" customFormat="1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s="200" customFormat="1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s="200" customFormat="1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s="200" customFormat="1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s="200" customFormat="1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s="200" customFormat="1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s="200" customFormat="1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s="200" customFormat="1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s="200" customFormat="1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s="200" customFormat="1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s="200" customFormat="1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s="200" customFormat="1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s="200" customFormat="1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s="200" customFormat="1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s="200" customFormat="1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s="200" customFormat="1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s="200" customFormat="1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s="200" customFormat="1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s="200" customFormat="1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s="200" customFormat="1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s="200" customFormat="1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s="200" customFormat="1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s="200" customFormat="1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s="200" customFormat="1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s="200" customFormat="1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s="200" customFormat="1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s="200" customFormat="1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s="200" customFormat="1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s="200" customFormat="1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s="200" customFormat="1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s="200" customFormat="1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s="200" customFormat="1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s="200" customFormat="1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s="200" customFormat="1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s="200" customFormat="1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s="200" customFormat="1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s="200" customFormat="1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s="200" customFormat="1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s="200" customFormat="1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s="200" customFormat="1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s="200" customFormat="1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s="200" customFormat="1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s="200" customFormat="1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s="200" customFormat="1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s="200" customFormat="1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s="200" customFormat="1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s="200" customFormat="1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s="200" customFormat="1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s="200" customFormat="1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s="200" customFormat="1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s="200" customFormat="1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s="200" customFormat="1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s="200" customFormat="1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s="200" customFormat="1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s="200" customFormat="1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s="200" customFormat="1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s="200" customFormat="1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s="200" customFormat="1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s="200" customFormat="1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s="200" customFormat="1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s="200" customFormat="1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s="200" customFormat="1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s="200" customFormat="1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s="200" customFormat="1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s="200" customFormat="1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s="200" customFormat="1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s="200" customFormat="1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s="200" customFormat="1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s="200" customFormat="1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s="200" customFormat="1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s="200" customFormat="1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s="200" customFormat="1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s="200" customFormat="1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s="200" customFormat="1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s="200" customFormat="1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s="200" customFormat="1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s="200" customFormat="1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s="200" customFormat="1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s="200" customFormat="1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s="200" customFormat="1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s="200" customFormat="1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s="200" customFormat="1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s="200" customFormat="1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s="200" customFormat="1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s="200" customFormat="1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s="200" customFormat="1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s="200" customFormat="1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s="200" customFormat="1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s="200" customFormat="1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s="200" customFormat="1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s="200" customFormat="1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s="200" customFormat="1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s="200" customFormat="1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s="200" customFormat="1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s="200" customFormat="1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s="200" customFormat="1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s="200" customFormat="1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s="200" customFormat="1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s="200" customFormat="1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s="200" customFormat="1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s="200" customFormat="1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s="200" customFormat="1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s="200" customFormat="1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s="200" customFormat="1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s="200" customFormat="1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s="200" customFormat="1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s="200" customFormat="1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s="200" customFormat="1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s="200" customFormat="1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s="200" customFormat="1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s="200" customFormat="1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s="200" customFormat="1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s="200" customFormat="1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s="200" customFormat="1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s="200" customFormat="1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s="200" customFormat="1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s="200" customFormat="1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s="200" customFormat="1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s="200" customFormat="1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s="200" customFormat="1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s="200" customFormat="1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s="200" customFormat="1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s="200" customFormat="1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s="200" customFormat="1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s="200" customFormat="1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s="200" customFormat="1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s="200" customFormat="1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s="200" customFormat="1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s="200" customFormat="1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s="200" customFormat="1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s="200" customFormat="1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s="200" customFormat="1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s="200" customFormat="1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s="200" customFormat="1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s="200" customFormat="1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s="200" customFormat="1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s="200" customFormat="1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s="200" customFormat="1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s="200" customFormat="1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s="200" customFormat="1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s="200" customFormat="1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s="200" customFormat="1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s="200" customFormat="1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s="200" customFormat="1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s="200" customFormat="1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s="200" customFormat="1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s="200" customFormat="1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s="200" customFormat="1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s="200" customFormat="1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s="200" customFormat="1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s="200" customFormat="1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s="200" customFormat="1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s="200" customFormat="1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s="200" customFormat="1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s="200" customFormat="1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s="200" customFormat="1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s="200" customFormat="1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s="200" customFormat="1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s="200" customFormat="1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s="200" customFormat="1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s="200" customFormat="1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s="200" customFormat="1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s="200" customFormat="1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s="200" customFormat="1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s="200" customFormat="1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s="200" customFormat="1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s="200" customFormat="1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s="200" customFormat="1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s="200" customFormat="1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s="200" customFormat="1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s="200" customFormat="1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s="200" customFormat="1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s="200" customFormat="1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s="200" customFormat="1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s="200" customFormat="1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s="200" customFormat="1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s="200" customFormat="1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s="200" customFormat="1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s="200" customFormat="1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s="200" customFormat="1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s="200" customFormat="1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s="200" customFormat="1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s="200" customFormat="1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s="200" customFormat="1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s="200" customFormat="1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s="200" customFormat="1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s="200" customFormat="1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s="200" customFormat="1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s="200" customFormat="1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s="200" customFormat="1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s="200" customFormat="1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s="200" customFormat="1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s="200" customFormat="1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s="200" customFormat="1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s="200" customFormat="1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s="200" customFormat="1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s="200" customFormat="1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s="200" customFormat="1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s="200" customFormat="1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s="200" customFormat="1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s="200" customFormat="1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s="200" customFormat="1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s="200" customFormat="1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s="200" customFormat="1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s="200" customFormat="1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s="200" customFormat="1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s="200" customFormat="1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s="200" customFormat="1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s="200" customFormat="1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s="200" customFormat="1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s="200" customFormat="1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s="200" customFormat="1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s="200" customFormat="1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s="200" customFormat="1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s="200" customFormat="1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s="200" customFormat="1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s="200" customFormat="1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s="200" customFormat="1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s="200" customFormat="1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s="200" customFormat="1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s="200" customFormat="1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s="200" customFormat="1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s="200" customFormat="1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s="200" customFormat="1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s="200" customFormat="1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s="200" customFormat="1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s="200" customFormat="1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s="200" customFormat="1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s="200" customFormat="1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s="200" customFormat="1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s="200" customFormat="1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s="200" customFormat="1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s="200" customFormat="1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s="200" customFormat="1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s="200" customFormat="1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s="200" customFormat="1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s="200" customFormat="1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s="200" customFormat="1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s="200" customFormat="1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s="200" customFormat="1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s="200" customFormat="1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s="200" customFormat="1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s="200" customFormat="1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s="200" customFormat="1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s="200" customFormat="1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s="200" customFormat="1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s="200" customFormat="1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s="200" customFormat="1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s="200" customFormat="1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s="200" customFormat="1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s="200" customFormat="1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s="200" customFormat="1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s="200" customFormat="1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s="200" customFormat="1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s="200" customFormat="1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s="200" customFormat="1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s="200" customFormat="1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s="200" customFormat="1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s="200" customFormat="1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s="200" customFormat="1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s="200" customFormat="1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s="200" customFormat="1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s="200" customFormat="1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s="200" customFormat="1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s="200" customFormat="1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s="200" customFormat="1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s="200" customFormat="1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s="200" customFormat="1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s="200" customFormat="1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s="200" customFormat="1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s="200" customFormat="1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s="200" customFormat="1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s="200" customFormat="1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s="200" customFormat="1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s="200" customFormat="1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s="200" customFormat="1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s="200" customFormat="1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s="200" customFormat="1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s="200" customFormat="1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s="200" customFormat="1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s="200" customFormat="1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s="200" customFormat="1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s="200" customFormat="1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s="200" customFormat="1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s="200" customFormat="1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s="200" customFormat="1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s="200" customFormat="1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s="200" customFormat="1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s="200" customFormat="1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s="200" customFormat="1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s="200" customFormat="1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s="200" customFormat="1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s="200" customFormat="1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s="200" customFormat="1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s="200" customFormat="1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s="200" customFormat="1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s="200" customFormat="1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s="200" customFormat="1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s="200" customFormat="1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s="200" customFormat="1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s="200" customFormat="1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s="200" customFormat="1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s="200" customFormat="1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s="200" customFormat="1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s="200" customFormat="1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s="200" customFormat="1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s="200" customFormat="1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s="200" customFormat="1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s="200" customFormat="1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s="200" customFormat="1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s="200" customFormat="1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s="200" customFormat="1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s="200" customFormat="1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s="200" customFormat="1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s="200" customFormat="1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s="200" customFormat="1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s="200" customFormat="1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s="200" customFormat="1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s="200" customFormat="1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s="200" customFormat="1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s="200" customFormat="1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s="200" customFormat="1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s="200" customFormat="1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s="200" customFormat="1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s="200" customFormat="1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s="200" customFormat="1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s="200" customFormat="1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s="200" customFormat="1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s="200" customFormat="1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s="200" customFormat="1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s="200" customFormat="1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s="200" customFormat="1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s="200" customFormat="1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s="200" customFormat="1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s="200" customFormat="1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s="200" customFormat="1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s="200" customFormat="1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s="200" customFormat="1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s="200" customFormat="1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s="200" customFormat="1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s="200" customFormat="1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s="200" customFormat="1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s="200" customFormat="1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s="200" customFormat="1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s="200" customFormat="1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s="200" customFormat="1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s="200" customFormat="1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s="200" customFormat="1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s="200" customFormat="1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s="200" customFormat="1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s="200" customFormat="1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s="200" customFormat="1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s="200" customFormat="1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s="200" customFormat="1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s="200" customFormat="1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s="200" customFormat="1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s="200" customFormat="1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s="200" customFormat="1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s="200" customFormat="1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s="200" customFormat="1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s="200" customFormat="1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s="200" customFormat="1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s="200" customFormat="1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s="200" customFormat="1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s="200" customFormat="1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s="200" customFormat="1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s="200" customFormat="1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s="200" customFormat="1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s="200" customFormat="1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s="200" customFormat="1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s="200" customFormat="1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s="200" customFormat="1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s="200" customFormat="1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s="200" customFormat="1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s="200" customFormat="1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s="200" customFormat="1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s="200" customFormat="1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s="200" customFormat="1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s="200" customFormat="1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s="200" customFormat="1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s="200" customFormat="1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s="200" customFormat="1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s="200" customFormat="1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s="200" customFormat="1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s="200" customFormat="1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s="200" customFormat="1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s="200" customFormat="1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s="200" customFormat="1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s="200" customFormat="1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s="200" customFormat="1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s="200" customFormat="1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s="200" customFormat="1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s="200" customFormat="1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s="200" customFormat="1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s="200" customFormat="1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s="200" customFormat="1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s="200" customFormat="1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s="200" customFormat="1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s="200" customFormat="1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s="200" customFormat="1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s="200" customFormat="1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s="200" customFormat="1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s="200" customFormat="1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s="200" customFormat="1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s="200" customFormat="1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s="200" customFormat="1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s="200" customFormat="1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s="200" customFormat="1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s="200" customFormat="1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s="200" customFormat="1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s="200" customFormat="1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s="200" customFormat="1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s="200" customFormat="1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s="200" customFormat="1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s="200" customFormat="1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s="200" customFormat="1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s="200" customFormat="1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s="200" customFormat="1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s="200" customFormat="1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s="200" customFormat="1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s="200" customFormat="1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s="200" customFormat="1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s="200" customFormat="1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s="200" customFormat="1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s="200" customFormat="1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s="200" customFormat="1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s="200" customFormat="1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s="200" customFormat="1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s="200" customFormat="1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s="200" customFormat="1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s="200" customFormat="1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s="200" customFormat="1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s="200" customFormat="1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s="200" customFormat="1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s="200" customFormat="1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s="200" customFormat="1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s="200" customFormat="1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s="200" customFormat="1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s="200" customFormat="1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s="200" customFormat="1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s="200" customFormat="1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s="200" customFormat="1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s="200" customFormat="1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s="200" customFormat="1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s="200" customFormat="1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s="200" customFormat="1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s="200" customFormat="1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s="200" customFormat="1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s="200" customFormat="1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s="200" customFormat="1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s="200" customFormat="1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s="200" customFormat="1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s="200" customFormat="1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s="200" customFormat="1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s="200" customFormat="1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s="200" customFormat="1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s="200" customFormat="1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s="200" customFormat="1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s="200" customFormat="1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s="200" customFormat="1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s="200" customFormat="1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s="200" customFormat="1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s="200" customFormat="1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s="200" customFormat="1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s="200" customFormat="1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s="200" customFormat="1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s="200" customFormat="1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s="200" customFormat="1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s="200" customFormat="1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s="200" customFormat="1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s="200" customFormat="1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s="200" customFormat="1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s="200" customFormat="1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s="200" customFormat="1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s="200" customFormat="1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s="200" customFormat="1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s="200" customFormat="1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s="200" customFormat="1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s="200" customFormat="1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s="200" customFormat="1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s="200" customFormat="1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s="200" customFormat="1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s="200" customFormat="1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s="200" customFormat="1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s="200" customFormat="1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s="200" customFormat="1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s="200" customFormat="1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s="200" customFormat="1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s="200" customFormat="1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s="200" customFormat="1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s="200" customFormat="1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s="200" customFormat="1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s="200" customFormat="1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s="200" customFormat="1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s="200" customFormat="1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s="200" customFormat="1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s="200" customFormat="1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s="200" customFormat="1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s="200" customFormat="1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s="200" customFormat="1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s="200" customFormat="1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s="200" customFormat="1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s="200" customFormat="1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s="200" customFormat="1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s="200" customFormat="1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s="200" customFormat="1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s="200" customFormat="1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s="200" customFormat="1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s="200" customFormat="1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s="200" customFormat="1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s="200" customFormat="1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s="200" customFormat="1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s="200" customFormat="1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s="200" customFormat="1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s="200" customFormat="1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s="200" customFormat="1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s="200" customFormat="1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s="200" customFormat="1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s="200" customFormat="1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s="200" customFormat="1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s="200" customFormat="1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s="200" customFormat="1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s="200" customFormat="1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s="200" customFormat="1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s="200" customFormat="1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s="200" customFormat="1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s="200" customFormat="1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s="200" customFormat="1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s="200" customFormat="1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s="200" customFormat="1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s="200" customFormat="1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s="200" customFormat="1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s="200" customFormat="1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s="200" customFormat="1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s="200" customFormat="1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s="200" customFormat="1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s="200" customFormat="1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s="200" customFormat="1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s="200" customFormat="1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s="200" customFormat="1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s="200" customFormat="1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s="200" customFormat="1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s="200" customFormat="1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s="200" customFormat="1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s="200" customFormat="1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s="200" customFormat="1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s="200" customFormat="1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s="200" customFormat="1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s="200" customFormat="1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s="200" customFormat="1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s="200" customFormat="1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s="200" customFormat="1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s="200" customFormat="1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s="200" customFormat="1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s="200" customFormat="1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s="200" customFormat="1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s="200" customFormat="1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s="200" customFormat="1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s="200" customFormat="1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s="200" customFormat="1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s="200" customFormat="1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s="200" customFormat="1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s="200" customFormat="1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s="200" customFormat="1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s="200" customFormat="1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s="200" customFormat="1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s="200" customFormat="1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s="200" customFormat="1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s="200" customFormat="1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s="200" customFormat="1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s="200" customFormat="1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s="200" customFormat="1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s="200" customFormat="1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s="200" customFormat="1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s="200" customFormat="1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s="200" customFormat="1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s="200" customFormat="1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s="200" customFormat="1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s="200" customFormat="1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s="200" customFormat="1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s="200" customFormat="1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s="200" customFormat="1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s="200" customFormat="1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s="200" customFormat="1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s="200" customFormat="1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s="200" customFormat="1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s="200" customFormat="1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s="200" customFormat="1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s="200" customFormat="1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s="200" customFormat="1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s="200" customFormat="1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s="200" customFormat="1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s="200" customFormat="1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s="200" customFormat="1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s="200" customFormat="1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s="200" customFormat="1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s="200" customFormat="1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s="200" customFormat="1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s="200" customFormat="1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s="200" customFormat="1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s="200" customFormat="1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s="200" customFormat="1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s="200" customFormat="1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s="200" customFormat="1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s="200" customFormat="1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s="200" customFormat="1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s="200" customFormat="1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s="200" customFormat="1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s="200" customFormat="1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s="200" customFormat="1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s="200" customFormat="1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s="200" customFormat="1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s="200" customFormat="1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s="200" customFormat="1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s="200" customFormat="1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s="200" customFormat="1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s="200" customFormat="1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s="200" customFormat="1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s="200" customFormat="1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s="200" customFormat="1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s="200" customFormat="1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s="200" customFormat="1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s="200" customFormat="1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s="200" customFormat="1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s="200" customFormat="1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s="200" customFormat="1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s="200" customFormat="1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s="200" customFormat="1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s="200" customFormat="1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s="200" customFormat="1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s="200" customFormat="1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s="200" customFormat="1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s="200" customFormat="1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s="200" customFormat="1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s="200" customFormat="1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s="200" customFormat="1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s="200" customFormat="1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s="200" customFormat="1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s="200" customFormat="1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s="200" customFormat="1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s="200" customFormat="1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s="200" customFormat="1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s="200" customFormat="1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s="200" customFormat="1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s="200" customFormat="1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s="200" customFormat="1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s="200" customFormat="1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s="200" customFormat="1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s="200" customFormat="1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s="200" customFormat="1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s="200" customFormat="1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s="200" customFormat="1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s="200" customFormat="1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s="200" customFormat="1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s="200" customFormat="1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s="200" customFormat="1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s="200" customFormat="1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s="200" customFormat="1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s="200" customFormat="1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s="200" customFormat="1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s="200" customFormat="1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s="200" customFormat="1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s="200" customFormat="1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s="200" customFormat="1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s="200" customFormat="1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s="200" customFormat="1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s="200" customFormat="1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s="200" customFormat="1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s="200" customFormat="1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s="200" customFormat="1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s="200" customFormat="1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s="200" customFormat="1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s="200" customFormat="1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s="200" customFormat="1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s="200" customFormat="1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s="200" customFormat="1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s="200" customFormat="1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s="200" customFormat="1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s="200" customFormat="1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s="200" customFormat="1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s="200" customFormat="1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s="200" customFormat="1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s="200" customFormat="1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s="200" customFormat="1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s="200" customFormat="1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s="200" customFormat="1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s="200" customFormat="1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s="200" customFormat="1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s="200" customFormat="1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s="200" customFormat="1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s="200" customFormat="1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s="200" customFormat="1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s="200" customFormat="1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s="200" customFormat="1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s="200" customFormat="1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s="200" customFormat="1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s="200" customFormat="1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s="200" customFormat="1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s="200" customFormat="1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s="200" customFormat="1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s="200" customFormat="1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s="200" customFormat="1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s="200" customFormat="1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s="200" customFormat="1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s="200" customFormat="1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s="200" customFormat="1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s="200" customFormat="1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s="200" customFormat="1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s="200" customFormat="1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s="200" customFormat="1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s="200" customFormat="1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s="200" customFormat="1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s="200" customFormat="1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s="200" customFormat="1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s="200" customFormat="1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s="200" customFormat="1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s="200" customFormat="1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s="200" customFormat="1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s="200" customFormat="1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s="200" customFormat="1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s="200" customFormat="1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s="200" customFormat="1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s="200" customFormat="1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s="200" customFormat="1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s="200" customFormat="1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s="200" customFormat="1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s="200" customFormat="1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s="200" customFormat="1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s="200" customFormat="1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s="200" customFormat="1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s="200" customFormat="1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s="200" customFormat="1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s="200" customFormat="1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s="200" customFormat="1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s="200" customFormat="1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s="200" customFormat="1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s="200" customFormat="1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s="200" customFormat="1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s="200" customFormat="1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s="200" customFormat="1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s="200" customFormat="1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s="200" customFormat="1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s="200" customFormat="1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s="200" customFormat="1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s="200" customFormat="1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s="200" customFormat="1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s="200" customFormat="1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s="200" customFormat="1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s="200" customFormat="1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s="200" customFormat="1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s="200" customFormat="1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s="200" customFormat="1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s="200" customFormat="1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s="200" customFormat="1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s="200" customFormat="1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s="200" customFormat="1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s="200" customFormat="1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s="200" customFormat="1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s="200" customFormat="1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s="200" customFormat="1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s="200" customFormat="1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s="200" customFormat="1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s="200" customFormat="1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s="200" customFormat="1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s="200" customFormat="1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s="200" customFormat="1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s="200" customFormat="1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s="200" customFormat="1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s="200" customFormat="1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s="200" customFormat="1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s="200" customFormat="1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s="200" customFormat="1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s="200" customFormat="1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s="200" customFormat="1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s="200" customFormat="1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s="200" customFormat="1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s="200" customFormat="1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s="200" customFormat="1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s="200" customFormat="1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s="200" customFormat="1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s="200" customFormat="1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s="200" customFormat="1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s="200" customFormat="1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s="200" customFormat="1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s="200" customFormat="1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s="200" customFormat="1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s="200" customFormat="1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s="200" customFormat="1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s="200" customFormat="1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s="200" customFormat="1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s="200" customFormat="1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s="200" customFormat="1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s="200" customFormat="1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s="200" customFormat="1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s="200" customFormat="1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s="200" customFormat="1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s="200" customFormat="1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s="200" customFormat="1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s="200" customFormat="1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s="200" customFormat="1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s="200" customFormat="1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s="200" customFormat="1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s="200" customFormat="1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s="200" customFormat="1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s="200" customFormat="1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s="200" customFormat="1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s="200" customFormat="1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s="200" customFormat="1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s="200" customFormat="1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s="200" customFormat="1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s="200" customFormat="1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s="200" customFormat="1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s="200" customFormat="1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s="200" customFormat="1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s="200" customFormat="1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s="200" customFormat="1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s="200" customFormat="1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s="200" customFormat="1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s="200" customFormat="1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s="200" customFormat="1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s="200" customFormat="1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s="200" customFormat="1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s="200" customFormat="1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s="200" customFormat="1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s="200" customFormat="1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s="200" customFormat="1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s="200" customFormat="1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s="200" customFormat="1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s="200" customFormat="1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s="200" customFormat="1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s="200" customFormat="1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s="200" customFormat="1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s="200" customFormat="1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s="200" customFormat="1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s="200" customFormat="1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s="200" customFormat="1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s="200" customFormat="1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s="200" customFormat="1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s="200" customFormat="1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s="200" customFormat="1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s="200" customFormat="1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s="200" customFormat="1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s="200" customFormat="1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s="200" customFormat="1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s="200" customFormat="1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s="200" customFormat="1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s="200" customFormat="1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s="200" customFormat="1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s="200" customFormat="1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s="200" customFormat="1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s="200" customFormat="1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s="200" customFormat="1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s="200" customFormat="1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s="200" customFormat="1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</sheetData>
  <mergeCells count="32">
    <mergeCell ref="O479:P479"/>
    <mergeCell ref="O481:P481"/>
    <mergeCell ref="N1:P1"/>
    <mergeCell ref="E5:E7"/>
    <mergeCell ref="I5:I7"/>
    <mergeCell ref="K4:K7"/>
    <mergeCell ref="L4:L7"/>
    <mergeCell ref="M4:M7"/>
    <mergeCell ref="N4:P6"/>
    <mergeCell ref="J5:J7"/>
    <mergeCell ref="I4:J4"/>
    <mergeCell ref="H4:H7"/>
    <mergeCell ref="A13:A24"/>
    <mergeCell ref="G5:G7"/>
    <mergeCell ref="B9:B10"/>
    <mergeCell ref="C4:C7"/>
    <mergeCell ref="D5:D7"/>
    <mergeCell ref="F5:F7"/>
    <mergeCell ref="A477:C478"/>
    <mergeCell ref="B4:B7"/>
    <mergeCell ref="A4:A7"/>
    <mergeCell ref="A342:A345"/>
    <mergeCell ref="B469:D469"/>
    <mergeCell ref="B474:D474"/>
    <mergeCell ref="B475:C475"/>
    <mergeCell ref="B31:B32"/>
    <mergeCell ref="B468:C468"/>
    <mergeCell ref="B476:D476"/>
    <mergeCell ref="B470:D470"/>
    <mergeCell ref="B471:D471"/>
    <mergeCell ref="B473:D473"/>
    <mergeCell ref="B472:D472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B1">
      <selection activeCell="E1" sqref="E1:G1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23" t="s">
        <v>724</v>
      </c>
      <c r="F1" s="440"/>
      <c r="G1" s="440"/>
    </row>
    <row r="2" ht="3" customHeight="1" hidden="1"/>
    <row r="3" ht="12.75" hidden="1"/>
    <row r="4" ht="12.75" hidden="1"/>
    <row r="5" spans="1:7" ht="31.5" customHeight="1">
      <c r="A5" s="536" t="s">
        <v>709</v>
      </c>
      <c r="B5" s="536"/>
      <c r="C5" s="536"/>
      <c r="D5" s="536"/>
      <c r="E5" s="536"/>
      <c r="F5" s="536"/>
      <c r="G5" s="536"/>
    </row>
    <row r="6" ht="13.5" thickBot="1"/>
    <row r="7" spans="1:7" ht="13.5" thickBot="1">
      <c r="A7" s="531" t="s">
        <v>191</v>
      </c>
      <c r="B7" s="532"/>
      <c r="C7" s="533"/>
      <c r="D7" s="527" t="s">
        <v>192</v>
      </c>
      <c r="E7" s="534" t="s">
        <v>193</v>
      </c>
      <c r="F7" s="529" t="s">
        <v>194</v>
      </c>
      <c r="G7" s="525" t="s">
        <v>714</v>
      </c>
    </row>
    <row r="8" spans="1:7" ht="90.75" customHeight="1">
      <c r="A8" s="12" t="s">
        <v>195</v>
      </c>
      <c r="B8" s="12" t="s">
        <v>196</v>
      </c>
      <c r="C8" s="39" t="s">
        <v>593</v>
      </c>
      <c r="D8" s="528"/>
      <c r="E8" s="535"/>
      <c r="F8" s="530"/>
      <c r="G8" s="526"/>
    </row>
    <row r="9" spans="1:7" ht="12.75">
      <c r="A9" s="219">
        <v>1</v>
      </c>
      <c r="B9" s="81">
        <v>2</v>
      </c>
      <c r="C9" s="81">
        <v>3</v>
      </c>
      <c r="D9" s="72">
        <v>4</v>
      </c>
      <c r="E9" s="42">
        <v>5</v>
      </c>
      <c r="F9" s="42">
        <v>6</v>
      </c>
      <c r="G9" s="42">
        <v>7</v>
      </c>
    </row>
    <row r="10" spans="1:8" ht="17.25" customHeight="1">
      <c r="A10" s="220" t="s">
        <v>197</v>
      </c>
      <c r="B10" s="220"/>
      <c r="C10" s="220"/>
      <c r="D10" s="220" t="s">
        <v>198</v>
      </c>
      <c r="E10" s="212">
        <v>0</v>
      </c>
      <c r="F10" s="212">
        <v>0</v>
      </c>
      <c r="G10" s="212">
        <f>G11+G12+G13+G14+G15</f>
        <v>50524</v>
      </c>
      <c r="H10" t="s">
        <v>517</v>
      </c>
    </row>
    <row r="11" spans="1:7" ht="12.75">
      <c r="A11" s="407" t="s">
        <v>602</v>
      </c>
      <c r="B11" s="407" t="s">
        <v>425</v>
      </c>
      <c r="C11" s="407" t="s">
        <v>426</v>
      </c>
      <c r="D11" s="366" t="s">
        <v>427</v>
      </c>
      <c r="E11" s="408">
        <v>0</v>
      </c>
      <c r="F11" s="408">
        <v>0</v>
      </c>
      <c r="G11" s="408">
        <v>0</v>
      </c>
    </row>
    <row r="12" spans="1:7" ht="25.5">
      <c r="A12" s="407" t="s">
        <v>662</v>
      </c>
      <c r="B12" s="407" t="s">
        <v>664</v>
      </c>
      <c r="C12" s="407" t="s">
        <v>426</v>
      </c>
      <c r="D12" s="409" t="s">
        <v>665</v>
      </c>
      <c r="E12" s="408">
        <v>0</v>
      </c>
      <c r="F12" s="408">
        <v>0</v>
      </c>
      <c r="G12" s="408">
        <v>40983</v>
      </c>
    </row>
    <row r="13" spans="1:7" ht="25.5">
      <c r="A13" s="407" t="s">
        <v>667</v>
      </c>
      <c r="B13" s="407" t="s">
        <v>673</v>
      </c>
      <c r="C13" s="407" t="s">
        <v>426</v>
      </c>
      <c r="D13" s="409" t="s">
        <v>715</v>
      </c>
      <c r="E13" s="408">
        <v>0</v>
      </c>
      <c r="F13" s="408">
        <v>0</v>
      </c>
      <c r="G13" s="408">
        <v>9501</v>
      </c>
    </row>
    <row r="14" spans="1:7" ht="12.75">
      <c r="A14" s="407" t="s">
        <v>676</v>
      </c>
      <c r="B14" s="407" t="s">
        <v>678</v>
      </c>
      <c r="C14" s="407" t="s">
        <v>426</v>
      </c>
      <c r="D14" s="366" t="s">
        <v>716</v>
      </c>
      <c r="E14" s="408">
        <v>0</v>
      </c>
      <c r="F14" s="408">
        <v>0</v>
      </c>
      <c r="G14" s="408">
        <v>2</v>
      </c>
    </row>
    <row r="15" spans="1:7" ht="25.5">
      <c r="A15" s="366">
        <v>754</v>
      </c>
      <c r="B15" s="366">
        <v>75411</v>
      </c>
      <c r="C15" s="366">
        <v>2350</v>
      </c>
      <c r="D15" s="409" t="s">
        <v>717</v>
      </c>
      <c r="E15" s="408">
        <v>0</v>
      </c>
      <c r="F15" s="408">
        <v>0</v>
      </c>
      <c r="G15" s="408">
        <v>38</v>
      </c>
    </row>
    <row r="16" spans="1:7" ht="12.75">
      <c r="A16" s="220" t="s">
        <v>199</v>
      </c>
      <c r="B16" s="522" t="s">
        <v>200</v>
      </c>
      <c r="C16" s="522"/>
      <c r="D16" s="522"/>
      <c r="E16" s="522"/>
      <c r="F16" s="522"/>
      <c r="G16" s="220"/>
    </row>
    <row r="17" spans="1:7" ht="38.25">
      <c r="A17" s="213" t="s">
        <v>602</v>
      </c>
      <c r="B17" s="213" t="s">
        <v>643</v>
      </c>
      <c r="C17" s="213" t="s">
        <v>79</v>
      </c>
      <c r="D17" s="214" t="s">
        <v>202</v>
      </c>
      <c r="E17" s="186">
        <f>'Z1'!T13</f>
        <v>10733</v>
      </c>
      <c r="F17" s="186">
        <f>F18</f>
        <v>800</v>
      </c>
      <c r="G17" s="182">
        <v>0</v>
      </c>
    </row>
    <row r="18" spans="1:7" ht="12.75">
      <c r="A18" s="26"/>
      <c r="B18" s="26"/>
      <c r="C18" s="26" t="s">
        <v>635</v>
      </c>
      <c r="D18" s="10" t="s">
        <v>22</v>
      </c>
      <c r="E18" s="7">
        <v>0</v>
      </c>
      <c r="F18" s="7">
        <f>'Z 2'!N28</f>
        <v>800</v>
      </c>
      <c r="G18" s="22">
        <v>0</v>
      </c>
    </row>
    <row r="19" spans="1:7" ht="12.75" hidden="1">
      <c r="A19" s="15" t="s">
        <v>602</v>
      </c>
      <c r="B19" s="15" t="s">
        <v>605</v>
      </c>
      <c r="C19" s="15" t="s">
        <v>201</v>
      </c>
      <c r="D19" s="6" t="s">
        <v>223</v>
      </c>
      <c r="E19" s="6" t="e">
        <f>#REF!</f>
        <v>#REF!</v>
      </c>
      <c r="F19" s="6">
        <f>F20+F21+F22+F23+F25+F24+F26+F27+F28+F29+F30+F31</f>
        <v>0</v>
      </c>
      <c r="G19" s="17">
        <v>0</v>
      </c>
    </row>
    <row r="20" spans="1:7" ht="25.5" hidden="1">
      <c r="A20" s="26"/>
      <c r="B20" s="26"/>
      <c r="C20" s="26" t="s">
        <v>619</v>
      </c>
      <c r="D20" s="10" t="s">
        <v>620</v>
      </c>
      <c r="E20" s="7">
        <v>0</v>
      </c>
      <c r="F20" s="7">
        <v>0</v>
      </c>
      <c r="G20" s="22">
        <v>0</v>
      </c>
    </row>
    <row r="21" spans="1:7" ht="25.5" hidden="1">
      <c r="A21" s="26"/>
      <c r="B21" s="26"/>
      <c r="C21" s="26" t="s">
        <v>621</v>
      </c>
      <c r="D21" s="10" t="s">
        <v>622</v>
      </c>
      <c r="E21" s="7">
        <v>0</v>
      </c>
      <c r="F21" s="7">
        <v>0</v>
      </c>
      <c r="G21" s="22">
        <v>0</v>
      </c>
    </row>
    <row r="22" spans="1:7" ht="12.75" hidden="1">
      <c r="A22" s="26"/>
      <c r="B22" s="26"/>
      <c r="C22" s="26" t="s">
        <v>623</v>
      </c>
      <c r="D22" s="7" t="s">
        <v>224</v>
      </c>
      <c r="E22" s="7">
        <v>0</v>
      </c>
      <c r="F22" s="7">
        <v>0</v>
      </c>
      <c r="G22" s="22">
        <v>0</v>
      </c>
    </row>
    <row r="23" spans="1:7" ht="12.75" hidden="1">
      <c r="A23" s="26"/>
      <c r="B23" s="26"/>
      <c r="C23" s="55" t="s">
        <v>652</v>
      </c>
      <c r="D23" s="10" t="s">
        <v>225</v>
      </c>
      <c r="E23" s="7">
        <v>0</v>
      </c>
      <c r="F23" s="7">
        <v>0</v>
      </c>
      <c r="G23" s="22">
        <v>0</v>
      </c>
    </row>
    <row r="24" spans="1:7" ht="12.75" hidden="1">
      <c r="A24" s="26"/>
      <c r="B24" s="26"/>
      <c r="C24" s="55" t="s">
        <v>627</v>
      </c>
      <c r="D24" s="10" t="s">
        <v>628</v>
      </c>
      <c r="E24" s="7">
        <v>0</v>
      </c>
      <c r="F24" s="7">
        <v>0</v>
      </c>
      <c r="G24" s="22">
        <v>0</v>
      </c>
    </row>
    <row r="25" spans="1:7" ht="12.75" hidden="1">
      <c r="A25" s="26"/>
      <c r="B25" s="26"/>
      <c r="C25" s="31">
        <v>4210</v>
      </c>
      <c r="D25" s="26" t="s">
        <v>630</v>
      </c>
      <c r="E25" s="7">
        <v>0</v>
      </c>
      <c r="F25" s="7">
        <v>0</v>
      </c>
      <c r="G25" s="22">
        <v>0</v>
      </c>
    </row>
    <row r="26" spans="1:7" ht="12.75" hidden="1">
      <c r="A26" s="26"/>
      <c r="B26" s="26"/>
      <c r="C26" s="31">
        <v>4260</v>
      </c>
      <c r="D26" s="26" t="s">
        <v>20</v>
      </c>
      <c r="E26" s="7">
        <v>0</v>
      </c>
      <c r="F26" s="7">
        <v>0</v>
      </c>
      <c r="G26" s="22">
        <v>0</v>
      </c>
    </row>
    <row r="27" spans="1:7" ht="12.75" hidden="1">
      <c r="A27" s="26"/>
      <c r="B27" s="26"/>
      <c r="C27" s="31">
        <v>4270</v>
      </c>
      <c r="D27" s="26" t="s">
        <v>21</v>
      </c>
      <c r="E27" s="7">
        <v>0</v>
      </c>
      <c r="F27" s="7">
        <v>0</v>
      </c>
      <c r="G27" s="22">
        <v>0</v>
      </c>
    </row>
    <row r="28" spans="1:7" ht="12.75" hidden="1">
      <c r="A28" s="26"/>
      <c r="B28" s="26"/>
      <c r="C28" s="31">
        <v>4300</v>
      </c>
      <c r="D28" s="26" t="s">
        <v>22</v>
      </c>
      <c r="E28" s="7">
        <v>0</v>
      </c>
      <c r="F28" s="7">
        <v>0</v>
      </c>
      <c r="G28" s="22">
        <v>0</v>
      </c>
    </row>
    <row r="29" spans="1:7" ht="12.75" hidden="1">
      <c r="A29" s="26"/>
      <c r="B29" s="26"/>
      <c r="C29" s="31">
        <v>4410</v>
      </c>
      <c r="D29" s="26" t="s">
        <v>638</v>
      </c>
      <c r="E29" s="7">
        <v>0</v>
      </c>
      <c r="F29" s="7">
        <v>0</v>
      </c>
      <c r="G29" s="22">
        <v>0</v>
      </c>
    </row>
    <row r="30" spans="1:7" ht="12.75" hidden="1">
      <c r="A30" s="26"/>
      <c r="B30" s="26"/>
      <c r="C30" s="31">
        <v>4430</v>
      </c>
      <c r="D30" s="26" t="s">
        <v>640</v>
      </c>
      <c r="E30" s="7">
        <v>0</v>
      </c>
      <c r="F30" s="7">
        <v>0</v>
      </c>
      <c r="G30" s="22">
        <v>0</v>
      </c>
    </row>
    <row r="31" spans="1:7" ht="12.75" hidden="1">
      <c r="A31" s="26"/>
      <c r="B31" s="26"/>
      <c r="C31" s="31">
        <v>4440</v>
      </c>
      <c r="D31" s="26" t="s">
        <v>642</v>
      </c>
      <c r="E31" s="7">
        <v>0</v>
      </c>
      <c r="F31" s="7">
        <v>0</v>
      </c>
      <c r="G31" s="22">
        <v>0</v>
      </c>
    </row>
    <row r="32" spans="1:7" ht="15.75" customHeight="1" hidden="1">
      <c r="A32" s="15" t="s">
        <v>644</v>
      </c>
      <c r="B32" s="15" t="s">
        <v>646</v>
      </c>
      <c r="C32" s="15" t="s">
        <v>201</v>
      </c>
      <c r="D32" s="6" t="s">
        <v>647</v>
      </c>
      <c r="E32" s="6">
        <v>0</v>
      </c>
      <c r="F32" s="6">
        <f>F33</f>
        <v>0</v>
      </c>
      <c r="G32" s="17">
        <v>0</v>
      </c>
    </row>
    <row r="33" spans="1:7" ht="15" customHeight="1" hidden="1">
      <c r="A33" s="26"/>
      <c r="B33" s="26"/>
      <c r="C33" s="26"/>
      <c r="D33" s="7" t="s">
        <v>60</v>
      </c>
      <c r="E33" s="7"/>
      <c r="F33" s="7">
        <v>0</v>
      </c>
      <c r="G33" s="22">
        <v>0</v>
      </c>
    </row>
    <row r="34" spans="1:7" ht="25.5">
      <c r="A34" s="213" t="s">
        <v>662</v>
      </c>
      <c r="B34" s="213" t="s">
        <v>664</v>
      </c>
      <c r="C34" s="213" t="s">
        <v>79</v>
      </c>
      <c r="D34" s="214" t="s">
        <v>665</v>
      </c>
      <c r="E34" s="186">
        <f>'Z1'!T40</f>
        <v>12700</v>
      </c>
      <c r="F34" s="186">
        <f>F35+F36+F37+F38+F40+F41+F39</f>
        <v>8795</v>
      </c>
      <c r="G34" s="186">
        <v>0</v>
      </c>
    </row>
    <row r="35" spans="1:7" ht="12.75">
      <c r="A35" s="15"/>
      <c r="B35" s="15"/>
      <c r="C35" s="28" t="s">
        <v>470</v>
      </c>
      <c r="D35" s="27" t="s">
        <v>483</v>
      </c>
      <c r="E35" s="18">
        <v>0</v>
      </c>
      <c r="F35" s="18">
        <f>'Z 2'!N60</f>
        <v>0</v>
      </c>
      <c r="G35" s="6">
        <v>0</v>
      </c>
    </row>
    <row r="36" spans="1:7" ht="12.75">
      <c r="A36" s="28"/>
      <c r="B36" s="28"/>
      <c r="C36" s="28" t="s">
        <v>631</v>
      </c>
      <c r="D36" s="27" t="s">
        <v>20</v>
      </c>
      <c r="E36" s="18">
        <v>0</v>
      </c>
      <c r="F36" s="18">
        <f>'Z 2'!N61</f>
        <v>1060</v>
      </c>
      <c r="G36" s="18">
        <v>0</v>
      </c>
    </row>
    <row r="37" spans="1:7" ht="12.75">
      <c r="A37" s="15"/>
      <c r="B37" s="15"/>
      <c r="C37" s="28" t="s">
        <v>635</v>
      </c>
      <c r="D37" s="27" t="s">
        <v>22</v>
      </c>
      <c r="E37" s="18">
        <v>0</v>
      </c>
      <c r="F37" s="18">
        <f>'Z 2'!N63</f>
        <v>3563</v>
      </c>
      <c r="G37" s="19">
        <v>0</v>
      </c>
    </row>
    <row r="38" spans="1:7" ht="12.75">
      <c r="A38" s="15"/>
      <c r="B38" s="15"/>
      <c r="C38" s="28" t="s">
        <v>657</v>
      </c>
      <c r="D38" s="27" t="s">
        <v>658</v>
      </c>
      <c r="E38" s="18">
        <v>0</v>
      </c>
      <c r="F38" s="18">
        <f>'Z 2'!N65</f>
        <v>2743</v>
      </c>
      <c r="G38" s="19">
        <v>0</v>
      </c>
    </row>
    <row r="39" spans="1:7" ht="12.75">
      <c r="A39" s="15"/>
      <c r="B39" s="15"/>
      <c r="C39" s="28" t="s">
        <v>696</v>
      </c>
      <c r="D39" s="27" t="s">
        <v>6</v>
      </c>
      <c r="E39" s="18">
        <v>0</v>
      </c>
      <c r="F39" s="18">
        <f>'Z 2'!N66</f>
        <v>1429</v>
      </c>
      <c r="G39" s="19">
        <v>0</v>
      </c>
    </row>
    <row r="40" spans="1:7" ht="12.75" hidden="1">
      <c r="A40" s="15"/>
      <c r="B40" s="15"/>
      <c r="C40" s="28" t="s">
        <v>550</v>
      </c>
      <c r="D40" s="27" t="s">
        <v>364</v>
      </c>
      <c r="E40" s="18">
        <v>0</v>
      </c>
      <c r="F40" s="18">
        <v>0</v>
      </c>
      <c r="G40" s="19">
        <v>0</v>
      </c>
    </row>
    <row r="41" spans="1:7" ht="12.75" hidden="1">
      <c r="A41" s="15"/>
      <c r="B41" s="15"/>
      <c r="C41" s="28" t="s">
        <v>126</v>
      </c>
      <c r="D41" s="27" t="s">
        <v>551</v>
      </c>
      <c r="E41" s="18">
        <v>0</v>
      </c>
      <c r="F41" s="18">
        <v>0</v>
      </c>
      <c r="G41" s="19">
        <v>0</v>
      </c>
    </row>
    <row r="42" spans="1:7" ht="38.25">
      <c r="A42" s="213" t="s">
        <v>667</v>
      </c>
      <c r="B42" s="213" t="s">
        <v>669</v>
      </c>
      <c r="C42" s="213" t="s">
        <v>79</v>
      </c>
      <c r="D42" s="214" t="s">
        <v>670</v>
      </c>
      <c r="E42" s="186">
        <f>'Z1'!T43</f>
        <v>11800</v>
      </c>
      <c r="F42" s="186">
        <f>F43</f>
        <v>0</v>
      </c>
      <c r="G42" s="182">
        <v>0</v>
      </c>
    </row>
    <row r="43" spans="1:7" ht="12.75">
      <c r="A43" s="15"/>
      <c r="B43" s="15"/>
      <c r="C43" s="28" t="s">
        <v>635</v>
      </c>
      <c r="D43" s="27" t="s">
        <v>22</v>
      </c>
      <c r="E43" s="18">
        <v>0</v>
      </c>
      <c r="F43" s="18">
        <f>'Z 2'!N70</f>
        <v>0</v>
      </c>
      <c r="G43" s="17">
        <v>0</v>
      </c>
    </row>
    <row r="44" spans="1:7" ht="25.5">
      <c r="A44" s="213" t="s">
        <v>667</v>
      </c>
      <c r="B44" s="213" t="s">
        <v>671</v>
      </c>
      <c r="C44" s="213" t="s">
        <v>79</v>
      </c>
      <c r="D44" s="214" t="s">
        <v>672</v>
      </c>
      <c r="E44" s="186">
        <f>'Z1'!T44</f>
        <v>5300</v>
      </c>
      <c r="F44" s="186">
        <f>F45</f>
        <v>429</v>
      </c>
      <c r="G44" s="182">
        <v>0</v>
      </c>
    </row>
    <row r="45" spans="1:7" ht="12.75">
      <c r="A45" s="28"/>
      <c r="B45" s="28"/>
      <c r="C45" s="28" t="s">
        <v>635</v>
      </c>
      <c r="D45" s="27" t="s">
        <v>22</v>
      </c>
      <c r="E45" s="18">
        <v>0</v>
      </c>
      <c r="F45" s="18">
        <f>'Z 2'!N72</f>
        <v>429</v>
      </c>
      <c r="G45" s="19">
        <v>0</v>
      </c>
    </row>
    <row r="46" spans="1:7" ht="12.75">
      <c r="A46" s="213" t="s">
        <v>667</v>
      </c>
      <c r="B46" s="213" t="s">
        <v>673</v>
      </c>
      <c r="C46" s="213" t="s">
        <v>79</v>
      </c>
      <c r="D46" s="186" t="s">
        <v>674</v>
      </c>
      <c r="E46" s="186">
        <f>'Z1'!T48</f>
        <v>56450</v>
      </c>
      <c r="F46" s="186">
        <f>F47+F49+F50+F52+F51+F53+F54+F55+F56+F57+F48</f>
        <v>48494</v>
      </c>
      <c r="G46" s="182">
        <v>0</v>
      </c>
    </row>
    <row r="47" spans="1:7" ht="25.5">
      <c r="A47" s="26"/>
      <c r="B47" s="15"/>
      <c r="C47" s="28" t="s">
        <v>619</v>
      </c>
      <c r="D47" s="27" t="s">
        <v>620</v>
      </c>
      <c r="E47" s="18">
        <v>0</v>
      </c>
      <c r="F47" s="18">
        <f>'Z 2'!N74</f>
        <v>11820</v>
      </c>
      <c r="G47" s="19">
        <v>0</v>
      </c>
    </row>
    <row r="48" spans="1:7" ht="25.5">
      <c r="A48" s="26"/>
      <c r="B48" s="15"/>
      <c r="C48" s="28" t="s">
        <v>621</v>
      </c>
      <c r="D48" s="10" t="s">
        <v>622</v>
      </c>
      <c r="E48" s="18">
        <v>0</v>
      </c>
      <c r="F48" s="18">
        <f>'Z 2'!N75</f>
        <v>14936</v>
      </c>
      <c r="G48" s="19">
        <v>0</v>
      </c>
    </row>
    <row r="49" spans="1:7" ht="12.75">
      <c r="A49" s="26"/>
      <c r="B49" s="15"/>
      <c r="C49" s="28" t="s">
        <v>623</v>
      </c>
      <c r="D49" s="18" t="s">
        <v>224</v>
      </c>
      <c r="E49" s="18">
        <v>0</v>
      </c>
      <c r="F49" s="18">
        <f>'Z 2'!N76</f>
        <v>8864</v>
      </c>
      <c r="G49" s="19">
        <v>0</v>
      </c>
    </row>
    <row r="50" spans="1:7" ht="12.75">
      <c r="A50" s="26"/>
      <c r="B50" s="15"/>
      <c r="C50" s="126" t="s">
        <v>652</v>
      </c>
      <c r="D50" s="27" t="s">
        <v>690</v>
      </c>
      <c r="E50" s="18">
        <v>0</v>
      </c>
      <c r="F50" s="18">
        <f>'Z 2'!N77</f>
        <v>6455</v>
      </c>
      <c r="G50" s="19">
        <v>0</v>
      </c>
    </row>
    <row r="51" spans="1:7" ht="13.5" customHeight="1">
      <c r="A51" s="26"/>
      <c r="B51" s="15"/>
      <c r="C51" s="126" t="s">
        <v>627</v>
      </c>
      <c r="D51" s="27" t="s">
        <v>628</v>
      </c>
      <c r="E51" s="18">
        <v>0</v>
      </c>
      <c r="F51" s="18">
        <f>'Z 2'!N78</f>
        <v>869</v>
      </c>
      <c r="G51" s="19">
        <v>0</v>
      </c>
    </row>
    <row r="52" spans="1:7" ht="15" customHeight="1">
      <c r="A52" s="26"/>
      <c r="B52" s="15"/>
      <c r="C52" s="28" t="s">
        <v>629</v>
      </c>
      <c r="D52" s="18" t="s">
        <v>630</v>
      </c>
      <c r="E52" s="18">
        <v>0</v>
      </c>
      <c r="F52" s="18">
        <f>'Z 2'!N79</f>
        <v>1082</v>
      </c>
      <c r="G52" s="19">
        <v>0</v>
      </c>
    </row>
    <row r="53" spans="1:7" ht="15" customHeight="1">
      <c r="A53" s="26"/>
      <c r="B53" s="15"/>
      <c r="C53" s="28" t="s">
        <v>631</v>
      </c>
      <c r="D53" s="27" t="s">
        <v>20</v>
      </c>
      <c r="E53" s="18">
        <v>0</v>
      </c>
      <c r="F53" s="18">
        <f>'Z 2'!N80</f>
        <v>298</v>
      </c>
      <c r="G53" s="19">
        <v>0</v>
      </c>
    </row>
    <row r="54" spans="1:7" ht="15" customHeight="1">
      <c r="A54" s="26"/>
      <c r="B54" s="15"/>
      <c r="C54" s="28" t="s">
        <v>635</v>
      </c>
      <c r="D54" s="18" t="s">
        <v>22</v>
      </c>
      <c r="E54" s="18">
        <v>0</v>
      </c>
      <c r="F54" s="18">
        <f>'Z 2'!N81</f>
        <v>2236</v>
      </c>
      <c r="G54" s="19">
        <v>0</v>
      </c>
    </row>
    <row r="55" spans="1:7" ht="15" customHeight="1">
      <c r="A55" s="26"/>
      <c r="B55" s="15"/>
      <c r="C55" s="28" t="s">
        <v>637</v>
      </c>
      <c r="D55" s="18" t="s">
        <v>638</v>
      </c>
      <c r="E55" s="18">
        <v>0</v>
      </c>
      <c r="F55" s="18">
        <f>'Z 2'!N82</f>
        <v>0</v>
      </c>
      <c r="G55" s="19">
        <v>0</v>
      </c>
    </row>
    <row r="56" spans="1:7" ht="15" customHeight="1">
      <c r="A56" s="26"/>
      <c r="B56" s="15"/>
      <c r="C56" s="28" t="s">
        <v>639</v>
      </c>
      <c r="D56" s="18" t="s">
        <v>80</v>
      </c>
      <c r="E56" s="18">
        <v>0</v>
      </c>
      <c r="F56" s="18">
        <f>'Z 2'!N83</f>
        <v>0</v>
      </c>
      <c r="G56" s="19">
        <v>0</v>
      </c>
    </row>
    <row r="57" spans="1:7" ht="15" customHeight="1">
      <c r="A57" s="26"/>
      <c r="B57" s="15"/>
      <c r="C57" s="28" t="s">
        <v>641</v>
      </c>
      <c r="D57" s="18" t="s">
        <v>642</v>
      </c>
      <c r="E57" s="18">
        <v>0</v>
      </c>
      <c r="F57" s="18">
        <f>'Z 2'!N84</f>
        <v>1934</v>
      </c>
      <c r="G57" s="19">
        <v>0</v>
      </c>
    </row>
    <row r="58" spans="1:7" ht="12.75">
      <c r="A58" s="213" t="s">
        <v>676</v>
      </c>
      <c r="B58" s="213" t="s">
        <v>678</v>
      </c>
      <c r="C58" s="213" t="s">
        <v>79</v>
      </c>
      <c r="D58" s="186" t="s">
        <v>679</v>
      </c>
      <c r="E58" s="186">
        <f>'Z1'!T50</f>
        <v>30627</v>
      </c>
      <c r="F58" s="186">
        <f>F59+F60+F61+F62+F63+F64+F65+F66+F67</f>
        <v>30627</v>
      </c>
      <c r="G58" s="182">
        <v>0</v>
      </c>
    </row>
    <row r="59" spans="1:7" ht="25.5">
      <c r="A59" s="26"/>
      <c r="B59" s="15"/>
      <c r="C59" s="28" t="s">
        <v>619</v>
      </c>
      <c r="D59" s="27" t="s">
        <v>620</v>
      </c>
      <c r="E59" s="18">
        <v>0</v>
      </c>
      <c r="F59" s="18">
        <f>'Z 2'!N87</f>
        <v>17610</v>
      </c>
      <c r="G59" s="19">
        <v>0</v>
      </c>
    </row>
    <row r="60" spans="1:7" ht="12.75">
      <c r="A60" s="26"/>
      <c r="B60" s="15"/>
      <c r="C60" s="28" t="s">
        <v>623</v>
      </c>
      <c r="D60" s="18" t="s">
        <v>224</v>
      </c>
      <c r="E60" s="18">
        <v>0</v>
      </c>
      <c r="F60" s="18">
        <f>'Z 2'!N88</f>
        <v>4712</v>
      </c>
      <c r="G60" s="19">
        <v>0</v>
      </c>
    </row>
    <row r="61" spans="1:7" ht="12.75">
      <c r="A61" s="26"/>
      <c r="B61" s="15"/>
      <c r="C61" s="126" t="s">
        <v>652</v>
      </c>
      <c r="D61" s="27" t="s">
        <v>690</v>
      </c>
      <c r="E61" s="18">
        <v>0</v>
      </c>
      <c r="F61" s="18">
        <f>'Z 2'!N89</f>
        <v>3846</v>
      </c>
      <c r="G61" s="19">
        <v>0</v>
      </c>
    </row>
    <row r="62" spans="1:7" ht="12.75">
      <c r="A62" s="26"/>
      <c r="B62" s="15"/>
      <c r="C62" s="126" t="s">
        <v>627</v>
      </c>
      <c r="D62" s="27" t="s">
        <v>628</v>
      </c>
      <c r="E62" s="18">
        <v>0</v>
      </c>
      <c r="F62" s="18">
        <f>'Z 2'!N90</f>
        <v>547</v>
      </c>
      <c r="G62" s="19">
        <v>0</v>
      </c>
    </row>
    <row r="63" spans="1:7" ht="12.75">
      <c r="A63" s="26"/>
      <c r="B63" s="15"/>
      <c r="C63" s="126" t="s">
        <v>470</v>
      </c>
      <c r="D63" s="27" t="s">
        <v>483</v>
      </c>
      <c r="E63" s="18">
        <v>0</v>
      </c>
      <c r="F63" s="18">
        <f>'Z 2'!N91</f>
        <v>1800</v>
      </c>
      <c r="G63" s="19">
        <v>0</v>
      </c>
    </row>
    <row r="64" spans="1:7" ht="12.75">
      <c r="A64" s="26"/>
      <c r="B64" s="15"/>
      <c r="C64" s="28" t="s">
        <v>629</v>
      </c>
      <c r="D64" s="18" t="s">
        <v>630</v>
      </c>
      <c r="E64" s="18">
        <v>0</v>
      </c>
      <c r="F64" s="18">
        <v>178</v>
      </c>
      <c r="G64" s="19">
        <v>0</v>
      </c>
    </row>
    <row r="65" spans="1:7" ht="12.75">
      <c r="A65" s="26"/>
      <c r="B65" s="15"/>
      <c r="C65" s="28" t="s">
        <v>635</v>
      </c>
      <c r="D65" s="18" t="s">
        <v>22</v>
      </c>
      <c r="E65" s="18">
        <v>0</v>
      </c>
      <c r="F65" s="18">
        <f>'Z 2'!N93</f>
        <v>0</v>
      </c>
      <c r="G65" s="19">
        <v>0</v>
      </c>
    </row>
    <row r="66" spans="1:7" ht="12.75">
      <c r="A66" s="26"/>
      <c r="B66" s="15"/>
      <c r="C66" s="28" t="s">
        <v>637</v>
      </c>
      <c r="D66" s="18" t="s">
        <v>638</v>
      </c>
      <c r="E66" s="18">
        <v>0</v>
      </c>
      <c r="F66" s="18">
        <f>'Z 2'!N94</f>
        <v>0</v>
      </c>
      <c r="G66" s="19">
        <v>0</v>
      </c>
    </row>
    <row r="67" spans="1:7" ht="12.75">
      <c r="A67" s="26"/>
      <c r="B67" s="15"/>
      <c r="C67" s="28" t="s">
        <v>641</v>
      </c>
      <c r="D67" s="18" t="s">
        <v>642</v>
      </c>
      <c r="E67" s="18">
        <v>0</v>
      </c>
      <c r="F67" s="18">
        <f>'Z 2'!N95</f>
        <v>1934</v>
      </c>
      <c r="G67" s="19">
        <v>0</v>
      </c>
    </row>
    <row r="68" spans="1:7" ht="15.75" customHeight="1">
      <c r="A68" s="213" t="s">
        <v>676</v>
      </c>
      <c r="B68" s="213" t="s">
        <v>688</v>
      </c>
      <c r="C68" s="213" t="s">
        <v>79</v>
      </c>
      <c r="D68" s="186" t="s">
        <v>689</v>
      </c>
      <c r="E68" s="186">
        <f>'Z1'!T58</f>
        <v>13000</v>
      </c>
      <c r="F68" s="186">
        <f>F69+F70+F71+F72+F73+F74+F75</f>
        <v>13000</v>
      </c>
      <c r="G68" s="182">
        <v>0</v>
      </c>
    </row>
    <row r="69" spans="1:7" ht="15.75" customHeight="1">
      <c r="A69" s="15"/>
      <c r="B69" s="15"/>
      <c r="C69" s="28" t="s">
        <v>617</v>
      </c>
      <c r="D69" s="18" t="s">
        <v>226</v>
      </c>
      <c r="E69" s="18">
        <v>0</v>
      </c>
      <c r="F69" s="18">
        <f>'Z 2'!N125</f>
        <v>5330</v>
      </c>
      <c r="G69" s="19">
        <v>0</v>
      </c>
    </row>
    <row r="70" spans="1:7" ht="15.75" customHeight="1">
      <c r="A70" s="15"/>
      <c r="B70" s="15"/>
      <c r="C70" s="28" t="s">
        <v>652</v>
      </c>
      <c r="D70" s="18" t="s">
        <v>690</v>
      </c>
      <c r="E70" s="18">
        <v>0</v>
      </c>
      <c r="F70" s="18">
        <f>'Z 2'!N126</f>
        <v>775</v>
      </c>
      <c r="G70" s="19">
        <v>0</v>
      </c>
    </row>
    <row r="71" spans="1:7" ht="15.75" customHeight="1">
      <c r="A71" s="15"/>
      <c r="B71" s="15"/>
      <c r="C71" s="28" t="s">
        <v>627</v>
      </c>
      <c r="D71" s="18" t="s">
        <v>628</v>
      </c>
      <c r="E71" s="18">
        <v>0</v>
      </c>
      <c r="F71" s="18">
        <f>'Z 2'!N127</f>
        <v>110</v>
      </c>
      <c r="G71" s="19">
        <v>0</v>
      </c>
    </row>
    <row r="72" spans="1:7" ht="15.75" customHeight="1">
      <c r="A72" s="15"/>
      <c r="B72" s="15"/>
      <c r="C72" s="28" t="s">
        <v>470</v>
      </c>
      <c r="D72" s="18" t="s">
        <v>483</v>
      </c>
      <c r="E72" s="18">
        <v>0</v>
      </c>
      <c r="F72" s="18">
        <f>'Z 2'!N128</f>
        <v>5400</v>
      </c>
      <c r="G72" s="19">
        <v>0</v>
      </c>
    </row>
    <row r="73" spans="1:7" ht="15.75" customHeight="1">
      <c r="A73" s="15"/>
      <c r="B73" s="15"/>
      <c r="C73" s="28" t="s">
        <v>629</v>
      </c>
      <c r="D73" s="18" t="s">
        <v>630</v>
      </c>
      <c r="E73" s="18">
        <v>0</v>
      </c>
      <c r="F73" s="18">
        <f>'Z 2'!N129</f>
        <v>687</v>
      </c>
      <c r="G73" s="19">
        <v>0</v>
      </c>
    </row>
    <row r="74" spans="1:7" ht="15.75" customHeight="1">
      <c r="A74" s="15"/>
      <c r="B74" s="15"/>
      <c r="C74" s="28" t="s">
        <v>635</v>
      </c>
      <c r="D74" s="18" t="s">
        <v>22</v>
      </c>
      <c r="E74" s="18">
        <v>0</v>
      </c>
      <c r="F74" s="18">
        <f>'Z 2'!N130</f>
        <v>450</v>
      </c>
      <c r="G74" s="19">
        <v>0</v>
      </c>
    </row>
    <row r="75" spans="1:7" ht="15.75" customHeight="1">
      <c r="A75" s="15"/>
      <c r="B75" s="15"/>
      <c r="C75" s="28" t="s">
        <v>637</v>
      </c>
      <c r="D75" s="18" t="s">
        <v>638</v>
      </c>
      <c r="E75" s="18">
        <v>0</v>
      </c>
      <c r="F75" s="18">
        <f>'Z 2'!N131</f>
        <v>248</v>
      </c>
      <c r="G75" s="19">
        <v>0</v>
      </c>
    </row>
    <row r="76" spans="1:7" ht="12.75" hidden="1">
      <c r="A76" s="15" t="s">
        <v>693</v>
      </c>
      <c r="B76" s="15" t="s">
        <v>695</v>
      </c>
      <c r="C76" s="15" t="s">
        <v>201</v>
      </c>
      <c r="D76" s="6" t="s">
        <v>7</v>
      </c>
      <c r="E76" s="6">
        <v>0</v>
      </c>
      <c r="F76" s="6">
        <f>F79+F81+F82+F83+F84+F86+F87+F88+F80+F89+F90+F91+F92+F93+F94+F95+F96+F77+F78+F85</f>
        <v>0</v>
      </c>
      <c r="G76" s="17">
        <v>0</v>
      </c>
    </row>
    <row r="77" spans="1:7" ht="12.75" hidden="1">
      <c r="A77" s="15"/>
      <c r="B77" s="15"/>
      <c r="C77" s="28" t="s">
        <v>607</v>
      </c>
      <c r="D77" s="18" t="s">
        <v>227</v>
      </c>
      <c r="E77" s="18">
        <v>0</v>
      </c>
      <c r="F77" s="18">
        <v>0</v>
      </c>
      <c r="G77" s="19">
        <v>0</v>
      </c>
    </row>
    <row r="78" spans="1:7" ht="12.75" hidden="1">
      <c r="A78" s="15"/>
      <c r="B78" s="15"/>
      <c r="C78" s="28" t="s">
        <v>617</v>
      </c>
      <c r="D78" s="18" t="s">
        <v>226</v>
      </c>
      <c r="E78" s="18">
        <v>0</v>
      </c>
      <c r="F78" s="18">
        <v>0</v>
      </c>
      <c r="G78" s="19">
        <v>0</v>
      </c>
    </row>
    <row r="79" spans="1:7" ht="25.5" hidden="1">
      <c r="A79" s="26"/>
      <c r="B79" s="26"/>
      <c r="C79" s="26" t="s">
        <v>619</v>
      </c>
      <c r="D79" s="10" t="s">
        <v>620</v>
      </c>
      <c r="E79" s="7">
        <v>0</v>
      </c>
      <c r="F79" s="7">
        <v>0</v>
      </c>
      <c r="G79" s="22">
        <v>0</v>
      </c>
    </row>
    <row r="80" spans="1:7" ht="25.5" hidden="1">
      <c r="A80" s="26"/>
      <c r="B80" s="26"/>
      <c r="C80" s="26" t="s">
        <v>621</v>
      </c>
      <c r="D80" s="10" t="s">
        <v>8</v>
      </c>
      <c r="E80" s="7">
        <v>0</v>
      </c>
      <c r="F80" s="7">
        <v>0</v>
      </c>
      <c r="G80" s="22">
        <v>0</v>
      </c>
    </row>
    <row r="81" spans="1:7" ht="12.75" hidden="1">
      <c r="A81" s="26"/>
      <c r="B81" s="26"/>
      <c r="C81" s="26" t="s">
        <v>623</v>
      </c>
      <c r="D81" s="10" t="s">
        <v>228</v>
      </c>
      <c r="E81" s="7">
        <v>0</v>
      </c>
      <c r="F81" s="7">
        <v>0</v>
      </c>
      <c r="G81" s="22">
        <v>0</v>
      </c>
    </row>
    <row r="82" spans="1:7" ht="25.5" hidden="1">
      <c r="A82" s="26"/>
      <c r="B82" s="26"/>
      <c r="C82" s="26" t="s">
        <v>9</v>
      </c>
      <c r="D82" s="10" t="s">
        <v>229</v>
      </c>
      <c r="E82" s="7">
        <v>0</v>
      </c>
      <c r="F82" s="7">
        <v>0</v>
      </c>
      <c r="G82" s="22">
        <v>0</v>
      </c>
    </row>
    <row r="83" spans="1:7" ht="12.75" hidden="1">
      <c r="A83" s="26"/>
      <c r="B83" s="26"/>
      <c r="C83" s="26" t="s">
        <v>11</v>
      </c>
      <c r="D83" s="7" t="s">
        <v>230</v>
      </c>
      <c r="E83" s="7">
        <v>0</v>
      </c>
      <c r="F83" s="7">
        <v>0</v>
      </c>
      <c r="G83" s="22">
        <v>0</v>
      </c>
    </row>
    <row r="84" spans="1:7" ht="12.75" hidden="1">
      <c r="A84" s="26"/>
      <c r="B84" s="26"/>
      <c r="C84" s="26" t="s">
        <v>13</v>
      </c>
      <c r="D84" s="7" t="s">
        <v>14</v>
      </c>
      <c r="E84" s="7">
        <v>0</v>
      </c>
      <c r="F84" s="7">
        <v>0</v>
      </c>
      <c r="G84" s="22">
        <v>0</v>
      </c>
    </row>
    <row r="85" spans="1:7" ht="38.25" hidden="1">
      <c r="A85" s="26"/>
      <c r="B85" s="26"/>
      <c r="C85" s="26" t="s">
        <v>15</v>
      </c>
      <c r="D85" s="10" t="s">
        <v>235</v>
      </c>
      <c r="E85" s="7">
        <v>0</v>
      </c>
      <c r="F85" s="7">
        <v>0</v>
      </c>
      <c r="G85" s="22"/>
    </row>
    <row r="86" spans="1:7" ht="12.75" hidden="1">
      <c r="A86" s="26"/>
      <c r="B86" s="26"/>
      <c r="C86" s="26" t="s">
        <v>652</v>
      </c>
      <c r="D86" s="10" t="s">
        <v>231</v>
      </c>
      <c r="E86" s="7">
        <v>0</v>
      </c>
      <c r="F86" s="7">
        <v>0</v>
      </c>
      <c r="G86" s="22">
        <v>0</v>
      </c>
    </row>
    <row r="87" spans="1:7" ht="18" customHeight="1" hidden="1">
      <c r="A87" s="26"/>
      <c r="B87" s="26"/>
      <c r="C87" s="55" t="s">
        <v>627</v>
      </c>
      <c r="D87" s="10" t="s">
        <v>628</v>
      </c>
      <c r="E87" s="7">
        <v>0</v>
      </c>
      <c r="F87" s="7">
        <v>0</v>
      </c>
      <c r="G87" s="22">
        <v>0</v>
      </c>
    </row>
    <row r="88" spans="1:7" ht="12.75" hidden="1">
      <c r="A88" s="26"/>
      <c r="B88" s="26"/>
      <c r="C88" s="26" t="s">
        <v>629</v>
      </c>
      <c r="D88" s="7" t="s">
        <v>630</v>
      </c>
      <c r="E88" s="7">
        <v>0</v>
      </c>
      <c r="F88" s="7">
        <v>0</v>
      </c>
      <c r="G88" s="22">
        <v>0</v>
      </c>
    </row>
    <row r="89" spans="1:7" ht="12.75" hidden="1">
      <c r="A89" s="26"/>
      <c r="B89" s="26"/>
      <c r="C89" s="26" t="s">
        <v>16</v>
      </c>
      <c r="D89" s="7" t="s">
        <v>232</v>
      </c>
      <c r="E89" s="7">
        <v>0</v>
      </c>
      <c r="F89" s="7">
        <v>0</v>
      </c>
      <c r="G89" s="22">
        <v>0</v>
      </c>
    </row>
    <row r="90" spans="1:7" ht="12.75" hidden="1">
      <c r="A90" s="26"/>
      <c r="B90" s="26"/>
      <c r="C90" s="26" t="s">
        <v>18</v>
      </c>
      <c r="D90" s="7" t="s">
        <v>19</v>
      </c>
      <c r="E90" s="7">
        <v>0</v>
      </c>
      <c r="F90" s="7">
        <v>0</v>
      </c>
      <c r="G90" s="22">
        <v>0</v>
      </c>
    </row>
    <row r="91" spans="1:7" ht="12.75" hidden="1">
      <c r="A91" s="26"/>
      <c r="B91" s="26"/>
      <c r="C91" s="26" t="s">
        <v>631</v>
      </c>
      <c r="D91" s="7" t="s">
        <v>20</v>
      </c>
      <c r="E91" s="7">
        <v>0</v>
      </c>
      <c r="F91" s="7">
        <v>0</v>
      </c>
      <c r="G91" s="22">
        <v>0</v>
      </c>
    </row>
    <row r="92" spans="1:7" ht="12.75" hidden="1">
      <c r="A92" s="26"/>
      <c r="B92" s="26"/>
      <c r="C92" s="26" t="s">
        <v>633</v>
      </c>
      <c r="D92" s="7" t="s">
        <v>21</v>
      </c>
      <c r="E92" s="7">
        <v>0</v>
      </c>
      <c r="F92" s="7">
        <v>0</v>
      </c>
      <c r="G92" s="22">
        <v>0</v>
      </c>
    </row>
    <row r="93" spans="1:7" ht="12.75" hidden="1">
      <c r="A93" s="26"/>
      <c r="B93" s="26"/>
      <c r="C93" s="26" t="s">
        <v>635</v>
      </c>
      <c r="D93" s="7" t="s">
        <v>22</v>
      </c>
      <c r="E93" s="7">
        <v>0</v>
      </c>
      <c r="F93" s="7">
        <v>0</v>
      </c>
      <c r="G93" s="22">
        <v>0</v>
      </c>
    </row>
    <row r="94" spans="1:7" ht="12.75" hidden="1">
      <c r="A94" s="26"/>
      <c r="B94" s="26"/>
      <c r="C94" s="26" t="s">
        <v>637</v>
      </c>
      <c r="D94" s="7" t="s">
        <v>638</v>
      </c>
      <c r="E94" s="7">
        <v>0</v>
      </c>
      <c r="F94" s="7">
        <v>0</v>
      </c>
      <c r="G94" s="22">
        <v>0</v>
      </c>
    </row>
    <row r="95" spans="1:7" ht="12.75" hidden="1">
      <c r="A95" s="26"/>
      <c r="B95" s="26"/>
      <c r="C95" s="26" t="s">
        <v>641</v>
      </c>
      <c r="D95" s="7" t="s">
        <v>642</v>
      </c>
      <c r="E95" s="7">
        <v>0</v>
      </c>
      <c r="F95" s="7">
        <v>0</v>
      </c>
      <c r="G95" s="22">
        <v>0</v>
      </c>
    </row>
    <row r="96" spans="1:7" ht="12.75" hidden="1">
      <c r="A96" s="26"/>
      <c r="B96" s="26"/>
      <c r="C96" s="26" t="s">
        <v>657</v>
      </c>
      <c r="D96" s="7" t="s">
        <v>658</v>
      </c>
      <c r="E96" s="7">
        <v>0</v>
      </c>
      <c r="F96" s="7">
        <v>0</v>
      </c>
      <c r="G96" s="22">
        <v>0</v>
      </c>
    </row>
    <row r="97" spans="1:7" ht="24.75" customHeight="1">
      <c r="A97" s="213" t="s">
        <v>693</v>
      </c>
      <c r="B97" s="213" t="s">
        <v>23</v>
      </c>
      <c r="C97" s="213" t="s">
        <v>79</v>
      </c>
      <c r="D97" s="214" t="s">
        <v>233</v>
      </c>
      <c r="E97" s="186">
        <f>'Z1'!T63</f>
        <v>740558</v>
      </c>
      <c r="F97" s="186">
        <f>F98+F99+F100+F101+F102+F103+F104+F105+F106+F107+F108+F109+F110+F111+F112+F113+F114+F115+F116+F117</f>
        <v>509309</v>
      </c>
      <c r="G97" s="182">
        <v>0</v>
      </c>
    </row>
    <row r="98" spans="1:7" ht="24.75" customHeight="1">
      <c r="A98" s="345"/>
      <c r="B98" s="345"/>
      <c r="C98" s="347" t="s">
        <v>307</v>
      </c>
      <c r="D98" s="307" t="s">
        <v>336</v>
      </c>
      <c r="E98" s="346">
        <v>0</v>
      </c>
      <c r="F98" s="205">
        <f>'Z 2'!N144</f>
        <v>35390</v>
      </c>
      <c r="G98" s="348"/>
    </row>
    <row r="99" spans="1:7" ht="24.75" customHeight="1">
      <c r="A99" s="15"/>
      <c r="B99" s="28"/>
      <c r="C99" s="28" t="s">
        <v>621</v>
      </c>
      <c r="D99" s="27" t="s">
        <v>234</v>
      </c>
      <c r="E99" s="18">
        <v>0</v>
      </c>
      <c r="F99" s="205">
        <f>'Z 2'!N145</f>
        <v>4757</v>
      </c>
      <c r="G99" s="19">
        <v>0</v>
      </c>
    </row>
    <row r="100" spans="1:7" ht="24.75" customHeight="1">
      <c r="A100" s="15"/>
      <c r="B100" s="28"/>
      <c r="C100" s="28" t="s">
        <v>623</v>
      </c>
      <c r="D100" s="27" t="s">
        <v>228</v>
      </c>
      <c r="E100" s="18">
        <v>0</v>
      </c>
      <c r="F100" s="205">
        <f>'Z 2'!N146</f>
        <v>1557</v>
      </c>
      <c r="G100" s="19">
        <v>0</v>
      </c>
    </row>
    <row r="101" spans="1:7" ht="24.75" customHeight="1">
      <c r="A101" s="15"/>
      <c r="B101" s="28"/>
      <c r="C101" s="28" t="s">
        <v>9</v>
      </c>
      <c r="D101" s="10" t="s">
        <v>229</v>
      </c>
      <c r="E101" s="18">
        <v>0</v>
      </c>
      <c r="F101" s="205">
        <f>'Z 2'!N147</f>
        <v>293199</v>
      </c>
      <c r="G101" s="19">
        <v>0</v>
      </c>
    </row>
    <row r="102" spans="1:7" ht="17.25" customHeight="1">
      <c r="A102" s="15"/>
      <c r="B102" s="28"/>
      <c r="C102" s="28" t="s">
        <v>11</v>
      </c>
      <c r="D102" s="7" t="s">
        <v>230</v>
      </c>
      <c r="E102" s="18">
        <v>0</v>
      </c>
      <c r="F102" s="205">
        <f>'Z 2'!N148</f>
        <v>2964</v>
      </c>
      <c r="G102" s="19">
        <v>0</v>
      </c>
    </row>
    <row r="103" spans="1:7" ht="14.25" customHeight="1">
      <c r="A103" s="15"/>
      <c r="B103" s="28"/>
      <c r="C103" s="26" t="s">
        <v>13</v>
      </c>
      <c r="D103" s="7" t="s">
        <v>14</v>
      </c>
      <c r="E103" s="18">
        <v>0</v>
      </c>
      <c r="F103" s="205">
        <f>'Z 2'!N149</f>
        <v>96976</v>
      </c>
      <c r="G103" s="19">
        <v>0</v>
      </c>
    </row>
    <row r="104" spans="1:7" ht="17.25" customHeight="1">
      <c r="A104" s="15"/>
      <c r="B104" s="28"/>
      <c r="C104" s="55" t="s">
        <v>652</v>
      </c>
      <c r="D104" s="10" t="s">
        <v>231</v>
      </c>
      <c r="E104" s="18">
        <v>0</v>
      </c>
      <c r="F104" s="205">
        <f>'Z 2'!N150</f>
        <v>1148</v>
      </c>
      <c r="G104" s="19">
        <v>0</v>
      </c>
    </row>
    <row r="105" spans="1:7" ht="15" customHeight="1">
      <c r="A105" s="15"/>
      <c r="B105" s="28"/>
      <c r="C105" s="55" t="s">
        <v>627</v>
      </c>
      <c r="D105" s="10" t="s">
        <v>628</v>
      </c>
      <c r="E105" s="18">
        <v>0</v>
      </c>
      <c r="F105" s="205">
        <f>'Z 2'!N151</f>
        <v>155</v>
      </c>
      <c r="G105" s="19">
        <v>0</v>
      </c>
    </row>
    <row r="106" spans="1:7" ht="20.25" customHeight="1">
      <c r="A106" s="15"/>
      <c r="B106" s="15"/>
      <c r="C106" s="26" t="s">
        <v>309</v>
      </c>
      <c r="D106" s="10" t="s">
        <v>524</v>
      </c>
      <c r="E106" s="18">
        <v>0</v>
      </c>
      <c r="F106" s="205">
        <f>'Z 2'!N152</f>
        <v>154</v>
      </c>
      <c r="G106" s="49">
        <v>0</v>
      </c>
    </row>
    <row r="107" spans="1:7" ht="18.75" customHeight="1">
      <c r="A107" s="15"/>
      <c r="B107" s="15"/>
      <c r="C107" s="28" t="s">
        <v>629</v>
      </c>
      <c r="D107" s="18" t="s">
        <v>630</v>
      </c>
      <c r="E107" s="18">
        <v>0</v>
      </c>
      <c r="F107" s="205">
        <f>'Z 2'!N153</f>
        <v>44584</v>
      </c>
      <c r="G107" s="49">
        <v>0</v>
      </c>
    </row>
    <row r="108" spans="1:7" ht="21.75" customHeight="1">
      <c r="A108" s="15"/>
      <c r="B108" s="15"/>
      <c r="C108" s="28" t="s">
        <v>18</v>
      </c>
      <c r="D108" s="18" t="s">
        <v>19</v>
      </c>
      <c r="E108" s="18">
        <v>0</v>
      </c>
      <c r="F108" s="205">
        <f>'Z 2'!N154</f>
        <v>0</v>
      </c>
      <c r="G108" s="49">
        <v>0</v>
      </c>
    </row>
    <row r="109" spans="1:7" ht="21.75" customHeight="1">
      <c r="A109" s="15"/>
      <c r="B109" s="15"/>
      <c r="C109" s="28" t="s">
        <v>631</v>
      </c>
      <c r="D109" s="18" t="s">
        <v>20</v>
      </c>
      <c r="E109" s="18">
        <v>0</v>
      </c>
      <c r="F109" s="205">
        <f>'Z 2'!N155</f>
        <v>4232</v>
      </c>
      <c r="G109" s="49">
        <v>0</v>
      </c>
    </row>
    <row r="110" spans="1:7" ht="21.75" customHeight="1">
      <c r="A110" s="15"/>
      <c r="B110" s="15"/>
      <c r="C110" s="28" t="s">
        <v>633</v>
      </c>
      <c r="D110" s="18" t="s">
        <v>21</v>
      </c>
      <c r="E110" s="18">
        <v>0</v>
      </c>
      <c r="F110" s="205">
        <f>'Z 2'!N156</f>
        <v>3402</v>
      </c>
      <c r="G110" s="49">
        <v>0</v>
      </c>
    </row>
    <row r="111" spans="1:7" ht="21.75" customHeight="1">
      <c r="A111" s="15"/>
      <c r="B111" s="15"/>
      <c r="C111" s="28" t="s">
        <v>697</v>
      </c>
      <c r="D111" s="18" t="s">
        <v>698</v>
      </c>
      <c r="E111" s="18">
        <v>0</v>
      </c>
      <c r="F111" s="205">
        <f>'Z 2'!N157</f>
        <v>2345</v>
      </c>
      <c r="G111" s="49">
        <v>0</v>
      </c>
    </row>
    <row r="112" spans="1:7" ht="21.75" customHeight="1">
      <c r="A112" s="15"/>
      <c r="B112" s="15"/>
      <c r="C112" s="28" t="s">
        <v>635</v>
      </c>
      <c r="D112" s="18" t="s">
        <v>22</v>
      </c>
      <c r="E112" s="18">
        <v>0</v>
      </c>
      <c r="F112" s="205">
        <f>'Z 2'!N158</f>
        <v>12140</v>
      </c>
      <c r="G112" s="49">
        <v>0</v>
      </c>
    </row>
    <row r="113" spans="1:7" ht="21.75" customHeight="1">
      <c r="A113" s="15"/>
      <c r="B113" s="15"/>
      <c r="C113" s="28" t="s">
        <v>637</v>
      </c>
      <c r="D113" s="18" t="s">
        <v>638</v>
      </c>
      <c r="E113" s="18">
        <v>0</v>
      </c>
      <c r="F113" s="205">
        <f>'Z 2'!N159</f>
        <v>2162</v>
      </c>
      <c r="G113" s="49">
        <v>0</v>
      </c>
    </row>
    <row r="114" spans="1:7" ht="17.25" customHeight="1">
      <c r="A114" s="15"/>
      <c r="B114" s="15"/>
      <c r="C114" s="28" t="s">
        <v>639</v>
      </c>
      <c r="D114" s="18" t="s">
        <v>640</v>
      </c>
      <c r="E114" s="18">
        <v>0</v>
      </c>
      <c r="F114" s="205">
        <f>'Z 2'!N160</f>
        <v>1366</v>
      </c>
      <c r="G114" s="49">
        <v>0</v>
      </c>
    </row>
    <row r="115" spans="1:7" ht="18" customHeight="1">
      <c r="A115" s="15"/>
      <c r="B115" s="15"/>
      <c r="C115" s="28" t="s">
        <v>641</v>
      </c>
      <c r="D115" s="18" t="s">
        <v>642</v>
      </c>
      <c r="E115" s="18">
        <v>0</v>
      </c>
      <c r="F115" s="205">
        <f>'Z 2'!N161</f>
        <v>0</v>
      </c>
      <c r="G115" s="49">
        <v>0</v>
      </c>
    </row>
    <row r="116" spans="1:7" ht="18.75" customHeight="1">
      <c r="A116" s="15"/>
      <c r="B116" s="15"/>
      <c r="C116" s="28" t="s">
        <v>696</v>
      </c>
      <c r="D116" s="18" t="s">
        <v>6</v>
      </c>
      <c r="E116" s="18">
        <v>0</v>
      </c>
      <c r="F116" s="205">
        <f>'Z 2'!N162</f>
        <v>2618</v>
      </c>
      <c r="G116" s="49">
        <v>0</v>
      </c>
    </row>
    <row r="117" spans="1:7" ht="15.75" customHeight="1">
      <c r="A117" s="15"/>
      <c r="B117" s="15"/>
      <c r="C117" s="28" t="s">
        <v>25</v>
      </c>
      <c r="D117" s="18" t="s">
        <v>240</v>
      </c>
      <c r="E117" s="18">
        <v>0</v>
      </c>
      <c r="F117" s="205">
        <f>'Z 2'!N163</f>
        <v>160</v>
      </c>
      <c r="G117" s="49">
        <v>0</v>
      </c>
    </row>
    <row r="118" spans="1:7" ht="21.75" customHeight="1" hidden="1">
      <c r="A118" s="15"/>
      <c r="B118" s="15"/>
      <c r="C118" s="28" t="s">
        <v>659</v>
      </c>
      <c r="D118" s="18" t="s">
        <v>241</v>
      </c>
      <c r="E118" s="18">
        <v>0</v>
      </c>
      <c r="F118" s="18">
        <v>0</v>
      </c>
      <c r="G118" s="49">
        <v>0</v>
      </c>
    </row>
    <row r="119" spans="1:7" ht="21.75" customHeight="1">
      <c r="A119" s="213" t="s">
        <v>693</v>
      </c>
      <c r="B119" s="213" t="s">
        <v>311</v>
      </c>
      <c r="C119" s="213" t="s">
        <v>79</v>
      </c>
      <c r="D119" s="186" t="s">
        <v>86</v>
      </c>
      <c r="E119" s="186">
        <f>'Z1'!T74</f>
        <v>0</v>
      </c>
      <c r="F119" s="186">
        <f>F120+F121</f>
        <v>0</v>
      </c>
      <c r="G119" s="218">
        <v>0</v>
      </c>
    </row>
    <row r="120" spans="1:7" ht="21.75" customHeight="1">
      <c r="A120" s="15"/>
      <c r="B120" s="15"/>
      <c r="C120" s="28" t="s">
        <v>629</v>
      </c>
      <c r="D120" s="18" t="s">
        <v>630</v>
      </c>
      <c r="E120" s="6">
        <v>0</v>
      </c>
      <c r="F120" s="18">
        <f>'Z 2'!L166</f>
        <v>0</v>
      </c>
      <c r="G120" s="48">
        <v>0</v>
      </c>
    </row>
    <row r="121" spans="1:7" ht="21.75" customHeight="1">
      <c r="A121" s="15"/>
      <c r="B121" s="15"/>
      <c r="C121" s="28" t="s">
        <v>635</v>
      </c>
      <c r="D121" s="18" t="s">
        <v>22</v>
      </c>
      <c r="E121" s="18">
        <v>0</v>
      </c>
      <c r="F121" s="18">
        <f>'Z 2'!L167</f>
        <v>0</v>
      </c>
      <c r="G121" s="49">
        <v>0</v>
      </c>
    </row>
    <row r="122" spans="1:7" ht="28.5" customHeight="1">
      <c r="A122" s="213" t="s">
        <v>92</v>
      </c>
      <c r="B122" s="213" t="s">
        <v>98</v>
      </c>
      <c r="C122" s="213" t="s">
        <v>79</v>
      </c>
      <c r="D122" s="214" t="s">
        <v>242</v>
      </c>
      <c r="E122" s="186">
        <f>'Z1'!T117</f>
        <v>136251</v>
      </c>
      <c r="F122" s="186">
        <f>F123</f>
        <v>93491</v>
      </c>
      <c r="G122" s="218">
        <v>0</v>
      </c>
    </row>
    <row r="123" spans="1:7" ht="20.25" customHeight="1">
      <c r="A123" s="15"/>
      <c r="B123" s="15"/>
      <c r="C123" s="28" t="s">
        <v>99</v>
      </c>
      <c r="D123" s="27" t="s">
        <v>243</v>
      </c>
      <c r="E123" s="18">
        <v>0</v>
      </c>
      <c r="F123" s="18">
        <f>'Z 2'!L300</f>
        <v>93491</v>
      </c>
      <c r="G123" s="49">
        <v>0</v>
      </c>
    </row>
    <row r="124" spans="1:7" ht="25.5" hidden="1">
      <c r="A124" s="15" t="s">
        <v>101</v>
      </c>
      <c r="B124" s="15" t="s">
        <v>112</v>
      </c>
      <c r="C124" s="15" t="s">
        <v>201</v>
      </c>
      <c r="D124" s="3" t="s">
        <v>113</v>
      </c>
      <c r="E124" s="6" t="e">
        <f>#REF!</f>
        <v>#REF!</v>
      </c>
      <c r="F124" s="6">
        <f>F125+F127+F126+F128+F129+F130+F131+F132+F133</f>
        <v>0</v>
      </c>
      <c r="G124" s="17">
        <v>0</v>
      </c>
    </row>
    <row r="125" spans="1:7" ht="25.5" hidden="1">
      <c r="A125" s="26"/>
      <c r="B125" s="15"/>
      <c r="C125" s="28" t="s">
        <v>619</v>
      </c>
      <c r="D125" s="27" t="s">
        <v>620</v>
      </c>
      <c r="E125" s="18">
        <v>0</v>
      </c>
      <c r="F125" s="18">
        <v>0</v>
      </c>
      <c r="G125" s="19">
        <v>0</v>
      </c>
    </row>
    <row r="126" spans="1:7" ht="12.75" hidden="1">
      <c r="A126" s="26"/>
      <c r="B126" s="15"/>
      <c r="C126" s="28" t="s">
        <v>623</v>
      </c>
      <c r="D126" s="27" t="s">
        <v>224</v>
      </c>
      <c r="E126" s="18">
        <v>0</v>
      </c>
      <c r="F126" s="18">
        <v>0</v>
      </c>
      <c r="G126" s="19">
        <v>0</v>
      </c>
    </row>
    <row r="127" spans="1:7" ht="12.75" hidden="1">
      <c r="A127" s="26"/>
      <c r="B127" s="15"/>
      <c r="C127" s="126" t="s">
        <v>652</v>
      </c>
      <c r="D127" s="27" t="s">
        <v>690</v>
      </c>
      <c r="E127" s="18">
        <v>0</v>
      </c>
      <c r="F127" s="18">
        <v>0</v>
      </c>
      <c r="G127" s="19">
        <v>0</v>
      </c>
    </row>
    <row r="128" spans="1:7" ht="12.75" hidden="1">
      <c r="A128" s="26"/>
      <c r="B128" s="15"/>
      <c r="C128" s="126" t="s">
        <v>627</v>
      </c>
      <c r="D128" s="27" t="s">
        <v>628</v>
      </c>
      <c r="E128" s="18">
        <v>0</v>
      </c>
      <c r="F128" s="18">
        <v>0</v>
      </c>
      <c r="G128" s="19">
        <v>0</v>
      </c>
    </row>
    <row r="129" spans="1:7" ht="13.5" customHeight="1" hidden="1">
      <c r="A129" s="26"/>
      <c r="B129" s="15"/>
      <c r="C129" s="126" t="s">
        <v>629</v>
      </c>
      <c r="D129" s="27" t="s">
        <v>630</v>
      </c>
      <c r="E129" s="18">
        <v>0</v>
      </c>
      <c r="F129" s="18">
        <v>0</v>
      </c>
      <c r="G129" s="19">
        <v>0</v>
      </c>
    </row>
    <row r="130" spans="1:7" ht="12.75" hidden="1">
      <c r="A130" s="26"/>
      <c r="B130" s="15"/>
      <c r="C130" s="126" t="s">
        <v>631</v>
      </c>
      <c r="D130" s="27" t="s">
        <v>20</v>
      </c>
      <c r="E130" s="18">
        <v>0</v>
      </c>
      <c r="F130" s="18">
        <v>0</v>
      </c>
      <c r="G130" s="19">
        <v>0</v>
      </c>
    </row>
    <row r="131" spans="1:7" ht="12.75" hidden="1">
      <c r="A131" s="26"/>
      <c r="B131" s="15"/>
      <c r="C131" s="126" t="s">
        <v>635</v>
      </c>
      <c r="D131" s="27" t="s">
        <v>22</v>
      </c>
      <c r="E131" s="18">
        <v>0</v>
      </c>
      <c r="F131" s="18">
        <v>0</v>
      </c>
      <c r="G131" s="19">
        <v>0</v>
      </c>
    </row>
    <row r="132" spans="1:7" ht="12.75" hidden="1">
      <c r="A132" s="26"/>
      <c r="B132" s="15"/>
      <c r="C132" s="126" t="s">
        <v>637</v>
      </c>
      <c r="D132" s="27" t="s">
        <v>638</v>
      </c>
      <c r="E132" s="18">
        <v>0</v>
      </c>
      <c r="F132" s="18">
        <v>0</v>
      </c>
      <c r="G132" s="19">
        <v>0</v>
      </c>
    </row>
    <row r="133" spans="1:7" ht="12.75" hidden="1">
      <c r="A133" s="26"/>
      <c r="B133" s="15"/>
      <c r="C133" s="126" t="s">
        <v>641</v>
      </c>
      <c r="D133" s="27" t="s">
        <v>642</v>
      </c>
      <c r="E133" s="18">
        <v>0</v>
      </c>
      <c r="F133" s="18">
        <v>0</v>
      </c>
      <c r="G133" s="19">
        <v>0</v>
      </c>
    </row>
    <row r="134" spans="1:7" ht="12.75" hidden="1">
      <c r="A134" s="15" t="s">
        <v>101</v>
      </c>
      <c r="B134" s="15" t="s">
        <v>119</v>
      </c>
      <c r="C134" s="15" t="s">
        <v>201</v>
      </c>
      <c r="D134" s="6" t="s">
        <v>120</v>
      </c>
      <c r="E134" s="6" t="e">
        <f>#REF!</f>
        <v>#REF!</v>
      </c>
      <c r="F134" s="6">
        <f>F135+F136+F137+F138+F139+F140+F142+F143+F144+F145+F146</f>
        <v>0</v>
      </c>
      <c r="G134" s="17">
        <v>0</v>
      </c>
    </row>
    <row r="135" spans="1:7" ht="25.5" hidden="1">
      <c r="A135" s="26"/>
      <c r="B135" s="15"/>
      <c r="C135" s="28" t="s">
        <v>619</v>
      </c>
      <c r="D135" s="27" t="s">
        <v>620</v>
      </c>
      <c r="E135" s="18">
        <v>0</v>
      </c>
      <c r="F135" s="18">
        <v>0</v>
      </c>
      <c r="G135" s="19">
        <v>0</v>
      </c>
    </row>
    <row r="136" spans="1:7" ht="12.75" hidden="1">
      <c r="A136" s="26"/>
      <c r="B136" s="15"/>
      <c r="C136" s="28" t="s">
        <v>623</v>
      </c>
      <c r="D136" s="18" t="s">
        <v>224</v>
      </c>
      <c r="E136" s="18">
        <v>0</v>
      </c>
      <c r="F136" s="18">
        <v>0</v>
      </c>
      <c r="G136" s="19">
        <v>0</v>
      </c>
    </row>
    <row r="137" spans="1:7" ht="12.75" hidden="1">
      <c r="A137" s="26"/>
      <c r="B137" s="15"/>
      <c r="C137" s="126" t="s">
        <v>652</v>
      </c>
      <c r="D137" s="27" t="s">
        <v>690</v>
      </c>
      <c r="E137" s="18">
        <v>0</v>
      </c>
      <c r="F137" s="18">
        <v>0</v>
      </c>
      <c r="G137" s="19">
        <v>0</v>
      </c>
    </row>
    <row r="138" spans="1:7" ht="12.75" hidden="1">
      <c r="A138" s="26"/>
      <c r="B138" s="15"/>
      <c r="C138" s="126" t="s">
        <v>627</v>
      </c>
      <c r="D138" s="27" t="s">
        <v>628</v>
      </c>
      <c r="E138" s="18">
        <v>0</v>
      </c>
      <c r="F138" s="18">
        <v>0</v>
      </c>
      <c r="G138" s="19">
        <v>0</v>
      </c>
    </row>
    <row r="139" spans="1:7" ht="12.75" hidden="1">
      <c r="A139" s="26"/>
      <c r="B139" s="26"/>
      <c r="C139" s="28" t="s">
        <v>629</v>
      </c>
      <c r="D139" s="18" t="s">
        <v>630</v>
      </c>
      <c r="E139" s="18">
        <v>0</v>
      </c>
      <c r="F139" s="18">
        <v>0</v>
      </c>
      <c r="G139" s="19">
        <v>0</v>
      </c>
    </row>
    <row r="140" spans="1:7" ht="12.75" hidden="1">
      <c r="A140" s="26"/>
      <c r="B140" s="26"/>
      <c r="C140" s="28" t="s">
        <v>631</v>
      </c>
      <c r="D140" s="18" t="s">
        <v>20</v>
      </c>
      <c r="E140" s="18">
        <v>0</v>
      </c>
      <c r="F140" s="18">
        <v>0</v>
      </c>
      <c r="G140" s="19">
        <v>0</v>
      </c>
    </row>
    <row r="141" spans="1:7" ht="12.75" hidden="1">
      <c r="A141" s="26"/>
      <c r="B141" s="26"/>
      <c r="C141" s="28" t="s">
        <v>633</v>
      </c>
      <c r="D141" s="18" t="s">
        <v>21</v>
      </c>
      <c r="E141" s="18">
        <v>0</v>
      </c>
      <c r="F141" s="18">
        <v>15074</v>
      </c>
      <c r="G141" s="19">
        <v>0</v>
      </c>
    </row>
    <row r="142" spans="1:7" ht="12.75" hidden="1">
      <c r="A142" s="26"/>
      <c r="B142" s="26"/>
      <c r="C142" s="28" t="s">
        <v>635</v>
      </c>
      <c r="D142" s="18" t="s">
        <v>22</v>
      </c>
      <c r="E142" s="18">
        <v>0</v>
      </c>
      <c r="F142" s="18">
        <v>0</v>
      </c>
      <c r="G142" s="19">
        <v>0</v>
      </c>
    </row>
    <row r="143" spans="1:7" ht="12.75" hidden="1">
      <c r="A143" s="26"/>
      <c r="B143" s="26"/>
      <c r="C143" s="28" t="s">
        <v>637</v>
      </c>
      <c r="D143" s="18" t="s">
        <v>638</v>
      </c>
      <c r="E143" s="18">
        <v>0</v>
      </c>
      <c r="F143" s="18">
        <v>0</v>
      </c>
      <c r="G143" s="19">
        <v>0</v>
      </c>
    </row>
    <row r="144" spans="1:7" ht="12.75" hidden="1">
      <c r="A144" s="26"/>
      <c r="B144" s="26"/>
      <c r="C144" s="28" t="s">
        <v>639</v>
      </c>
      <c r="D144" s="18" t="s">
        <v>640</v>
      </c>
      <c r="E144" s="18">
        <v>0</v>
      </c>
      <c r="F144" s="18">
        <v>0</v>
      </c>
      <c r="G144" s="19">
        <v>0</v>
      </c>
    </row>
    <row r="145" spans="1:7" ht="12.75" hidden="1">
      <c r="A145" s="26"/>
      <c r="B145" s="26"/>
      <c r="C145" s="28" t="s">
        <v>641</v>
      </c>
      <c r="D145" s="18" t="s">
        <v>642</v>
      </c>
      <c r="E145" s="18">
        <v>0</v>
      </c>
      <c r="F145" s="18">
        <v>0</v>
      </c>
      <c r="G145" s="19">
        <v>0</v>
      </c>
    </row>
    <row r="146" spans="1:7" ht="12.75" hidden="1">
      <c r="A146" s="26"/>
      <c r="B146" s="26"/>
      <c r="C146" s="28" t="s">
        <v>657</v>
      </c>
      <c r="D146" s="18" t="s">
        <v>658</v>
      </c>
      <c r="E146" s="18">
        <v>0</v>
      </c>
      <c r="F146" s="18">
        <v>0</v>
      </c>
      <c r="G146" s="19">
        <v>0</v>
      </c>
    </row>
    <row r="147" spans="1:7" ht="21" customHeight="1">
      <c r="A147" s="524" t="s">
        <v>244</v>
      </c>
      <c r="B147" s="524"/>
      <c r="C147" s="524"/>
      <c r="D147" s="524"/>
      <c r="E147" s="204">
        <f>E17+E34+E42+E44+E46+E58+E68+E97+E119+E122</f>
        <v>1017419</v>
      </c>
      <c r="F147" s="204">
        <f>F17+F34+F42+F44+F46+F58+F68+F97+F119+F122</f>
        <v>704945</v>
      </c>
      <c r="G147" s="204">
        <f>G10</f>
        <v>50524</v>
      </c>
    </row>
  </sheetData>
  <mergeCells count="9">
    <mergeCell ref="B16:F16"/>
    <mergeCell ref="E1:G1"/>
    <mergeCell ref="A147:D147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31.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23" t="s">
        <v>725</v>
      </c>
      <c r="F1" s="523"/>
    </row>
    <row r="2" spans="5:6" ht="30" customHeight="1">
      <c r="E2" s="1"/>
      <c r="F2" s="1"/>
    </row>
    <row r="3" spans="1:6" ht="63" customHeight="1" thickBot="1">
      <c r="A3" s="541" t="s">
        <v>711</v>
      </c>
      <c r="B3" s="541"/>
      <c r="C3" s="541"/>
      <c r="D3" s="541"/>
      <c r="E3" s="541"/>
      <c r="F3" s="541"/>
    </row>
    <row r="4" spans="1:6" ht="13.5" thickBot="1">
      <c r="A4" s="542" t="s">
        <v>191</v>
      </c>
      <c r="B4" s="543"/>
      <c r="C4" s="544"/>
      <c r="D4" s="545" t="s">
        <v>192</v>
      </c>
      <c r="E4" s="547" t="s">
        <v>245</v>
      </c>
      <c r="F4" s="549" t="s">
        <v>194</v>
      </c>
    </row>
    <row r="5" spans="1:6" ht="13.5" thickBot="1">
      <c r="A5" s="98" t="s">
        <v>195</v>
      </c>
      <c r="B5" s="99" t="s">
        <v>196</v>
      </c>
      <c r="C5" s="98" t="s">
        <v>593</v>
      </c>
      <c r="D5" s="546"/>
      <c r="E5" s="548"/>
      <c r="F5" s="550"/>
    </row>
    <row r="6" spans="1:6" ht="12.75">
      <c r="A6" s="149">
        <v>1</v>
      </c>
      <c r="B6" s="148">
        <v>2</v>
      </c>
      <c r="C6" s="148">
        <v>3</v>
      </c>
      <c r="D6" s="100">
        <v>4</v>
      </c>
      <c r="E6" s="148">
        <v>5</v>
      </c>
      <c r="F6" s="150">
        <v>6</v>
      </c>
    </row>
    <row r="7" spans="1:6" ht="38.25" hidden="1">
      <c r="A7" s="53"/>
      <c r="B7" s="45"/>
      <c r="C7" s="103">
        <v>2830</v>
      </c>
      <c r="D7" s="104" t="s">
        <v>468</v>
      </c>
      <c r="E7" s="101">
        <v>0</v>
      </c>
      <c r="F7" s="105">
        <v>0</v>
      </c>
    </row>
    <row r="8" spans="1:6" ht="12.75">
      <c r="A8" s="182">
        <v>852</v>
      </c>
      <c r="B8" s="182">
        <v>85202</v>
      </c>
      <c r="C8" s="182">
        <v>2130</v>
      </c>
      <c r="D8" s="221" t="s">
        <v>108</v>
      </c>
      <c r="E8" s="222">
        <f>'Z1'!T128</f>
        <v>143722</v>
      </c>
      <c r="F8" s="223">
        <f>F9+F10+F11+F13+F12+F14+F15+F16+F17+F18+F19+F20+F21+F22+F23+F24+F25</f>
        <v>143722</v>
      </c>
    </row>
    <row r="9" spans="1:6" ht="25.5">
      <c r="A9" s="102"/>
      <c r="B9" s="51"/>
      <c r="C9" s="108">
        <v>4010</v>
      </c>
      <c r="D9" s="104" t="s">
        <v>620</v>
      </c>
      <c r="E9" s="101">
        <v>0</v>
      </c>
      <c r="F9" s="105">
        <v>69706</v>
      </c>
    </row>
    <row r="10" spans="1:6" ht="12.75">
      <c r="A10" s="106"/>
      <c r="B10" s="107"/>
      <c r="C10" s="108">
        <v>4040</v>
      </c>
      <c r="D10" s="104" t="s">
        <v>228</v>
      </c>
      <c r="E10" s="101">
        <v>0</v>
      </c>
      <c r="F10" s="105">
        <v>30087</v>
      </c>
    </row>
    <row r="11" spans="1:6" ht="12.75">
      <c r="A11" s="106"/>
      <c r="B11" s="107"/>
      <c r="C11" s="168">
        <v>4110</v>
      </c>
      <c r="D11" s="104" t="s">
        <v>690</v>
      </c>
      <c r="E11" s="101">
        <v>0</v>
      </c>
      <c r="F11" s="105">
        <v>8365</v>
      </c>
    </row>
    <row r="12" spans="1:6" ht="12.75">
      <c r="A12" s="106"/>
      <c r="B12" s="107"/>
      <c r="C12" s="168">
        <v>4120</v>
      </c>
      <c r="D12" s="104" t="s">
        <v>628</v>
      </c>
      <c r="E12" s="101">
        <v>0</v>
      </c>
      <c r="F12" s="105">
        <v>3270</v>
      </c>
    </row>
    <row r="13" spans="1:6" ht="12.75" hidden="1">
      <c r="A13" s="106"/>
      <c r="B13" s="107"/>
      <c r="C13" s="108">
        <v>3020</v>
      </c>
      <c r="D13" s="104" t="s">
        <v>467</v>
      </c>
      <c r="E13" s="101">
        <v>0</v>
      </c>
      <c r="F13" s="105">
        <v>0</v>
      </c>
    </row>
    <row r="14" spans="1:6" ht="12.75" hidden="1">
      <c r="A14" s="106"/>
      <c r="B14" s="107"/>
      <c r="C14" s="108">
        <v>3030</v>
      </c>
      <c r="D14" s="104" t="s">
        <v>105</v>
      </c>
      <c r="E14" s="101">
        <v>0</v>
      </c>
      <c r="F14" s="105">
        <v>0</v>
      </c>
    </row>
    <row r="15" spans="1:6" ht="12.75">
      <c r="A15" s="53"/>
      <c r="B15" s="45"/>
      <c r="C15" s="108">
        <v>4410</v>
      </c>
      <c r="D15" s="104" t="s">
        <v>638</v>
      </c>
      <c r="E15" s="101">
        <v>0</v>
      </c>
      <c r="F15" s="105">
        <v>100</v>
      </c>
    </row>
    <row r="16" spans="1:6" ht="12.75">
      <c r="A16" s="102"/>
      <c r="B16" s="51"/>
      <c r="C16" s="108">
        <v>4210</v>
      </c>
      <c r="D16" s="104" t="s">
        <v>630</v>
      </c>
      <c r="E16" s="101">
        <v>0</v>
      </c>
      <c r="F16" s="105">
        <v>0</v>
      </c>
    </row>
    <row r="17" spans="1:6" ht="12.75">
      <c r="A17" s="106"/>
      <c r="B17" s="107"/>
      <c r="C17" s="109">
        <v>4220</v>
      </c>
      <c r="D17" s="110" t="s">
        <v>17</v>
      </c>
      <c r="E17" s="111">
        <v>0</v>
      </c>
      <c r="F17" s="112">
        <v>132</v>
      </c>
    </row>
    <row r="18" spans="1:6" ht="12.75">
      <c r="A18" s="17"/>
      <c r="B18" s="17"/>
      <c r="C18" s="19">
        <v>4230</v>
      </c>
      <c r="D18" s="104" t="s">
        <v>469</v>
      </c>
      <c r="E18" s="101">
        <v>0</v>
      </c>
      <c r="F18" s="105">
        <v>1768</v>
      </c>
    </row>
    <row r="19" spans="1:6" ht="12.75">
      <c r="A19" s="17"/>
      <c r="B19" s="17"/>
      <c r="C19" s="19">
        <v>4260</v>
      </c>
      <c r="D19" s="104" t="s">
        <v>20</v>
      </c>
      <c r="E19" s="101">
        <v>0</v>
      </c>
      <c r="F19" s="105">
        <v>10934</v>
      </c>
    </row>
    <row r="20" spans="1:6" ht="12.75" hidden="1">
      <c r="A20" s="106"/>
      <c r="B20" s="107"/>
      <c r="C20" s="113">
        <v>4270</v>
      </c>
      <c r="D20" s="114" t="s">
        <v>21</v>
      </c>
      <c r="E20" s="115">
        <v>0</v>
      </c>
      <c r="F20" s="116">
        <v>0</v>
      </c>
    </row>
    <row r="21" spans="1:6" ht="12.75">
      <c r="A21" s="106"/>
      <c r="B21" s="107"/>
      <c r="C21" s="108">
        <v>4300</v>
      </c>
      <c r="D21" s="104" t="s">
        <v>22</v>
      </c>
      <c r="E21" s="101">
        <v>0</v>
      </c>
      <c r="F21" s="105">
        <v>16342</v>
      </c>
    </row>
    <row r="22" spans="1:6" ht="12.75">
      <c r="A22" s="106"/>
      <c r="B22" s="107"/>
      <c r="C22" s="108">
        <v>4430</v>
      </c>
      <c r="D22" s="104" t="s">
        <v>640</v>
      </c>
      <c r="E22" s="101">
        <v>0</v>
      </c>
      <c r="F22" s="105">
        <v>0</v>
      </c>
    </row>
    <row r="23" spans="1:6" ht="12.75">
      <c r="A23" s="106"/>
      <c r="B23" s="107"/>
      <c r="C23" s="108">
        <v>4440</v>
      </c>
      <c r="D23" s="104" t="s">
        <v>642</v>
      </c>
      <c r="E23" s="101">
        <v>0</v>
      </c>
      <c r="F23" s="105">
        <v>2000</v>
      </c>
    </row>
    <row r="24" spans="1:6" ht="12.75">
      <c r="A24" s="106"/>
      <c r="B24" s="107"/>
      <c r="C24" s="108">
        <v>4480</v>
      </c>
      <c r="D24" s="104" t="s">
        <v>658</v>
      </c>
      <c r="E24" s="101">
        <v>0</v>
      </c>
      <c r="F24" s="105">
        <v>592</v>
      </c>
    </row>
    <row r="25" spans="1:6" ht="12.75">
      <c r="A25" s="53"/>
      <c r="B25" s="45"/>
      <c r="C25" s="108">
        <v>4520</v>
      </c>
      <c r="D25" s="104" t="s">
        <v>240</v>
      </c>
      <c r="E25" s="101">
        <v>0</v>
      </c>
      <c r="F25" s="105">
        <v>426</v>
      </c>
    </row>
    <row r="26" spans="1:6" ht="18.75" customHeight="1">
      <c r="A26" s="538" t="s">
        <v>486</v>
      </c>
      <c r="B26" s="539"/>
      <c r="C26" s="539"/>
      <c r="D26" s="540"/>
      <c r="E26" s="224">
        <f>E8</f>
        <v>143722</v>
      </c>
      <c r="F26" s="224">
        <f>F8</f>
        <v>143722</v>
      </c>
    </row>
    <row r="27" ht="12.75">
      <c r="C27" s="117"/>
    </row>
    <row r="28" spans="3:5" ht="12.75">
      <c r="C28" s="117"/>
      <c r="E28" s="132"/>
    </row>
    <row r="29" spans="1:6" ht="38.25" customHeight="1">
      <c r="A29" s="537"/>
      <c r="B29" s="537"/>
      <c r="C29" s="537"/>
      <c r="D29" s="537"/>
      <c r="E29" s="537"/>
      <c r="F29" s="537"/>
    </row>
    <row r="30" ht="12.75">
      <c r="C30" s="117"/>
    </row>
    <row r="31" ht="12.75">
      <c r="C31" s="117"/>
    </row>
    <row r="32" ht="12.75">
      <c r="C32" s="117"/>
    </row>
    <row r="33" ht="12.75">
      <c r="C33" s="117"/>
    </row>
  </sheetData>
  <mergeCells count="8">
    <mergeCell ref="E1:F1"/>
    <mergeCell ref="A29:F29"/>
    <mergeCell ref="A26:D26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556" t="s">
        <v>726</v>
      </c>
      <c r="D1" s="556"/>
      <c r="E1" s="556"/>
      <c r="F1" s="556"/>
    </row>
    <row r="2" spans="1:6" ht="33.75" customHeight="1">
      <c r="A2" s="557" t="s">
        <v>710</v>
      </c>
      <c r="B2" s="557"/>
      <c r="C2" s="557"/>
      <c r="D2" s="557"/>
      <c r="E2" s="557"/>
      <c r="F2" s="557"/>
    </row>
    <row r="3" spans="1:6" ht="12" customHeight="1">
      <c r="A3" s="558" t="s">
        <v>191</v>
      </c>
      <c r="B3" s="558"/>
      <c r="C3" s="558"/>
      <c r="D3" s="443" t="s">
        <v>192</v>
      </c>
      <c r="E3" s="443" t="s">
        <v>245</v>
      </c>
      <c r="F3" s="443" t="s">
        <v>194</v>
      </c>
    </row>
    <row r="4" spans="1:6" ht="12" customHeight="1">
      <c r="A4" s="14" t="s">
        <v>195</v>
      </c>
      <c r="B4" s="14" t="s">
        <v>196</v>
      </c>
      <c r="C4" s="14" t="s">
        <v>593</v>
      </c>
      <c r="D4" s="443"/>
      <c r="E4" s="443"/>
      <c r="F4" s="443"/>
    </row>
    <row r="5" spans="1:6" ht="11.2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</row>
    <row r="6" spans="1:6" ht="17.25" customHeight="1">
      <c r="A6" s="236"/>
      <c r="B6" s="236"/>
      <c r="C6" s="236"/>
      <c r="D6" s="237" t="s">
        <v>429</v>
      </c>
      <c r="E6" s="237">
        <f>E7+E10+E14</f>
        <v>132015</v>
      </c>
      <c r="F6" s="237">
        <f>F10+F14</f>
        <v>0</v>
      </c>
    </row>
    <row r="7" spans="1:6" ht="24.75" customHeight="1">
      <c r="A7" s="216">
        <v>754</v>
      </c>
      <c r="B7" s="216">
        <v>75411</v>
      </c>
      <c r="C7" s="367"/>
      <c r="D7" s="217" t="s">
        <v>701</v>
      </c>
      <c r="E7" s="216">
        <f>E9</f>
        <v>20000</v>
      </c>
      <c r="F7" s="216"/>
    </row>
    <row r="8" spans="1:6" ht="12" customHeight="1">
      <c r="A8" s="366"/>
      <c r="B8" s="366"/>
      <c r="C8" s="365"/>
      <c r="D8" s="369" t="s">
        <v>248</v>
      </c>
      <c r="E8" s="366"/>
      <c r="F8" s="366"/>
    </row>
    <row r="9" spans="1:6" ht="14.25" customHeight="1">
      <c r="A9" s="365"/>
      <c r="B9" s="365"/>
      <c r="C9" s="368">
        <v>6630</v>
      </c>
      <c r="D9" s="370" t="s">
        <v>63</v>
      </c>
      <c r="E9" s="368">
        <f>'Z1'!T65</f>
        <v>20000</v>
      </c>
      <c r="F9" s="366"/>
    </row>
    <row r="10" spans="1:6" ht="15" customHeight="1">
      <c r="A10" s="186">
        <v>803</v>
      </c>
      <c r="B10" s="186">
        <v>80309</v>
      </c>
      <c r="C10" s="230"/>
      <c r="D10" s="229" t="s">
        <v>284</v>
      </c>
      <c r="E10" s="216">
        <f>E12+E13</f>
        <v>13015</v>
      </c>
      <c r="F10" s="216">
        <f>F12+F13</f>
        <v>0</v>
      </c>
    </row>
    <row r="11" spans="1:6" ht="11.25" customHeight="1">
      <c r="A11" s="6"/>
      <c r="B11" s="6"/>
      <c r="C11" s="54"/>
      <c r="D11" s="126" t="s">
        <v>248</v>
      </c>
      <c r="E11" s="54"/>
      <c r="F11" s="54"/>
    </row>
    <row r="12" spans="1:6" ht="11.25" customHeight="1">
      <c r="A12" s="18"/>
      <c r="B12" s="18"/>
      <c r="C12" s="54">
        <v>2888</v>
      </c>
      <c r="D12" s="126" t="s">
        <v>63</v>
      </c>
      <c r="E12" s="54">
        <f>'Z1'!T107</f>
        <v>9761</v>
      </c>
      <c r="F12" s="54"/>
    </row>
    <row r="13" spans="1:6" ht="11.25" customHeight="1">
      <c r="A13" s="18"/>
      <c r="B13" s="18"/>
      <c r="C13" s="54">
        <v>2889</v>
      </c>
      <c r="D13" s="126" t="s">
        <v>63</v>
      </c>
      <c r="E13" s="54">
        <f>'Z1'!T108</f>
        <v>3254</v>
      </c>
      <c r="F13" s="54"/>
    </row>
    <row r="14" spans="1:6" ht="11.25" customHeight="1">
      <c r="A14" s="186">
        <v>854</v>
      </c>
      <c r="B14" s="186">
        <v>85415</v>
      </c>
      <c r="C14" s="230"/>
      <c r="D14" s="229" t="s">
        <v>404</v>
      </c>
      <c r="E14" s="216">
        <f>E16+E17</f>
        <v>99000</v>
      </c>
      <c r="F14" s="216">
        <f>F16+F17</f>
        <v>0</v>
      </c>
    </row>
    <row r="15" spans="1:6" ht="11.25" customHeight="1">
      <c r="A15" s="18"/>
      <c r="B15" s="18"/>
      <c r="C15" s="54"/>
      <c r="D15" s="126" t="s">
        <v>248</v>
      </c>
      <c r="E15" s="54"/>
      <c r="F15" s="54"/>
    </row>
    <row r="16" spans="1:6" ht="11.25" customHeight="1">
      <c r="A16" s="18"/>
      <c r="B16" s="18"/>
      <c r="C16" s="54">
        <v>2888</v>
      </c>
      <c r="D16" s="126" t="s">
        <v>63</v>
      </c>
      <c r="E16" s="54">
        <f>'Z1'!T162</f>
        <v>67320</v>
      </c>
      <c r="F16" s="54">
        <v>0</v>
      </c>
    </row>
    <row r="17" spans="1:6" ht="11.25" customHeight="1">
      <c r="A17" s="18"/>
      <c r="B17" s="18"/>
      <c r="C17" s="54">
        <v>2889</v>
      </c>
      <c r="D17" s="126" t="s">
        <v>63</v>
      </c>
      <c r="E17" s="54">
        <f>'Z1'!T163</f>
        <v>31680</v>
      </c>
      <c r="F17" s="54">
        <v>0</v>
      </c>
    </row>
    <row r="18" spans="1:6" ht="16.5" customHeight="1">
      <c r="A18" s="236"/>
      <c r="B18" s="236"/>
      <c r="C18" s="236"/>
      <c r="D18" s="237" t="s">
        <v>430</v>
      </c>
      <c r="E18" s="237">
        <f>E19+E23+E26+E31+E58+E71+E78+E81+E85+E88+E94+E97+E100</f>
        <v>79105</v>
      </c>
      <c r="F18" s="237">
        <f>F19+F23+F26+F31+F55+F58+F71+F78+F81+F85+F88+F94+F97+F100</f>
        <v>98745</v>
      </c>
    </row>
    <row r="19" spans="1:6" ht="18.75" customHeight="1">
      <c r="A19" s="216">
        <v>600</v>
      </c>
      <c r="B19" s="216">
        <v>60014</v>
      </c>
      <c r="C19" s="216">
        <v>2310</v>
      </c>
      <c r="D19" s="216" t="s">
        <v>566</v>
      </c>
      <c r="E19" s="216">
        <f>E22</f>
        <v>0</v>
      </c>
      <c r="F19" s="216">
        <f>F22</f>
        <v>0</v>
      </c>
    </row>
    <row r="20" spans="1:6" ht="9.75" customHeight="1">
      <c r="A20" s="54"/>
      <c r="B20" s="54"/>
      <c r="C20" s="54"/>
      <c r="D20" s="153" t="s">
        <v>248</v>
      </c>
      <c r="E20" s="54"/>
      <c r="F20" s="54"/>
    </row>
    <row r="21" spans="1:6" ht="15.75" customHeight="1" hidden="1">
      <c r="A21" s="54"/>
      <c r="B21" s="54"/>
      <c r="C21" s="54"/>
      <c r="D21" s="20" t="s">
        <v>569</v>
      </c>
      <c r="E21" s="54">
        <v>0</v>
      </c>
      <c r="F21" s="54">
        <v>0</v>
      </c>
    </row>
    <row r="22" spans="1:6" ht="15.75" customHeight="1">
      <c r="A22" s="54"/>
      <c r="B22" s="54"/>
      <c r="C22" s="54">
        <v>2310</v>
      </c>
      <c r="D22" s="20" t="s">
        <v>527</v>
      </c>
      <c r="E22" s="54">
        <v>0</v>
      </c>
      <c r="F22" s="54">
        <f>'Z 2'!P38</f>
        <v>0</v>
      </c>
    </row>
    <row r="23" spans="1:6" ht="15.75" customHeight="1">
      <c r="A23" s="215" t="s">
        <v>602</v>
      </c>
      <c r="B23" s="215" t="s">
        <v>367</v>
      </c>
      <c r="C23" s="216">
        <v>2310</v>
      </c>
      <c r="D23" s="183" t="s">
        <v>692</v>
      </c>
      <c r="E23" s="216">
        <f>E25</f>
        <v>0</v>
      </c>
      <c r="F23" s="216">
        <f>F25</f>
        <v>0</v>
      </c>
    </row>
    <row r="24" spans="1:6" ht="12.75" customHeight="1">
      <c r="A24" s="54"/>
      <c r="B24" s="54"/>
      <c r="C24" s="54"/>
      <c r="D24" s="20" t="s">
        <v>248</v>
      </c>
      <c r="E24" s="54"/>
      <c r="F24" s="54"/>
    </row>
    <row r="25" spans="1:6" ht="15.75" customHeight="1">
      <c r="A25" s="54"/>
      <c r="B25" s="54"/>
      <c r="C25" s="54">
        <v>2310</v>
      </c>
      <c r="D25" s="20" t="s">
        <v>528</v>
      </c>
      <c r="E25" s="54">
        <v>0</v>
      </c>
      <c r="F25" s="54">
        <f>'Z 2'!P30</f>
        <v>0</v>
      </c>
    </row>
    <row r="26" spans="1:6" ht="25.5" customHeight="1">
      <c r="A26" s="217">
        <v>754</v>
      </c>
      <c r="B26" s="217">
        <v>75411</v>
      </c>
      <c r="C26" s="217">
        <v>2310</v>
      </c>
      <c r="D26" s="221" t="s">
        <v>391</v>
      </c>
      <c r="E26" s="217">
        <f>E28+E29+E30</f>
        <v>0</v>
      </c>
      <c r="F26" s="217">
        <f>F28+F29+F30</f>
        <v>0</v>
      </c>
    </row>
    <row r="27" spans="1:6" ht="15.75" customHeight="1">
      <c r="A27" s="54"/>
      <c r="B27" s="54"/>
      <c r="C27" s="54"/>
      <c r="D27" s="20" t="s">
        <v>248</v>
      </c>
      <c r="E27" s="54"/>
      <c r="F27" s="54"/>
    </row>
    <row r="28" spans="1:6" ht="15.75" customHeight="1">
      <c r="A28" s="54"/>
      <c r="B28" s="54"/>
      <c r="C28" s="54"/>
      <c r="D28" s="20" t="s">
        <v>525</v>
      </c>
      <c r="E28" s="54">
        <v>0</v>
      </c>
      <c r="F28" s="54">
        <v>0</v>
      </c>
    </row>
    <row r="29" spans="1:6" ht="15.75" customHeight="1">
      <c r="A29" s="54"/>
      <c r="B29" s="54"/>
      <c r="C29" s="54"/>
      <c r="D29" s="20" t="s">
        <v>529</v>
      </c>
      <c r="E29" s="54">
        <v>0</v>
      </c>
      <c r="F29" s="54">
        <v>0</v>
      </c>
    </row>
    <row r="30" spans="1:6" ht="15.75" customHeight="1">
      <c r="A30" s="54"/>
      <c r="B30" s="54"/>
      <c r="C30" s="54"/>
      <c r="D30" s="20" t="s">
        <v>526</v>
      </c>
      <c r="E30" s="54">
        <v>0</v>
      </c>
      <c r="F30" s="54">
        <v>0</v>
      </c>
    </row>
    <row r="31" spans="1:6" ht="13.5" customHeight="1">
      <c r="A31" s="216">
        <v>600</v>
      </c>
      <c r="B31" s="216">
        <v>60014</v>
      </c>
      <c r="C31" s="216">
        <v>6610</v>
      </c>
      <c r="D31" s="216" t="s">
        <v>566</v>
      </c>
      <c r="E31" s="216">
        <f>E33+E35+E34</f>
        <v>0</v>
      </c>
      <c r="F31" s="216">
        <f>F33+F35+F34</f>
        <v>0</v>
      </c>
    </row>
    <row r="32" spans="1:6" ht="12" customHeight="1">
      <c r="A32" s="54"/>
      <c r="B32" s="54"/>
      <c r="C32" s="54"/>
      <c r="D32" s="153" t="s">
        <v>248</v>
      </c>
      <c r="E32" s="54"/>
      <c r="F32" s="54"/>
    </row>
    <row r="33" spans="1:6" ht="15" customHeight="1">
      <c r="A33" s="20"/>
      <c r="B33" s="20"/>
      <c r="C33" s="54">
        <v>6610</v>
      </c>
      <c r="D33" s="20" t="s">
        <v>527</v>
      </c>
      <c r="E33" s="54">
        <v>0</v>
      </c>
      <c r="F33" s="54">
        <v>0</v>
      </c>
    </row>
    <row r="34" spans="1:6" ht="15" customHeight="1">
      <c r="A34" s="20"/>
      <c r="B34" s="20"/>
      <c r="C34" s="54">
        <v>6610</v>
      </c>
      <c r="D34" s="20" t="s">
        <v>530</v>
      </c>
      <c r="E34" s="54">
        <v>0</v>
      </c>
      <c r="F34" s="54">
        <v>0</v>
      </c>
    </row>
    <row r="35" spans="1:6" ht="15" customHeight="1">
      <c r="A35" s="20"/>
      <c r="B35" s="20"/>
      <c r="C35" s="54">
        <v>6610</v>
      </c>
      <c r="D35" s="20" t="s">
        <v>528</v>
      </c>
      <c r="E35" s="54">
        <v>0</v>
      </c>
      <c r="F35" s="54">
        <v>0</v>
      </c>
    </row>
    <row r="36" spans="1:6" ht="15" customHeight="1" hidden="1">
      <c r="A36" s="50">
        <v>600</v>
      </c>
      <c r="B36" s="50">
        <v>60014</v>
      </c>
      <c r="C36" s="14">
        <v>663</v>
      </c>
      <c r="D36" s="14" t="s">
        <v>566</v>
      </c>
      <c r="E36" s="14">
        <f>E38</f>
        <v>0</v>
      </c>
      <c r="F36" s="14">
        <f>F38</f>
        <v>0</v>
      </c>
    </row>
    <row r="37" spans="1:6" ht="12" customHeight="1" hidden="1">
      <c r="A37" s="20"/>
      <c r="B37" s="20"/>
      <c r="C37" s="54"/>
      <c r="D37" s="153" t="s">
        <v>248</v>
      </c>
      <c r="E37" s="54"/>
      <c r="F37" s="54"/>
    </row>
    <row r="38" spans="1:6" ht="15" customHeight="1" hidden="1">
      <c r="A38" s="20"/>
      <c r="B38" s="20"/>
      <c r="C38" s="54"/>
      <c r="D38" s="20" t="s">
        <v>588</v>
      </c>
      <c r="E38" s="54">
        <v>0</v>
      </c>
      <c r="F38" s="54">
        <v>0</v>
      </c>
    </row>
    <row r="39" spans="1:6" ht="15" customHeight="1" hidden="1">
      <c r="A39" s="50">
        <v>851</v>
      </c>
      <c r="B39" s="50">
        <v>85111</v>
      </c>
      <c r="C39" s="14">
        <v>231</v>
      </c>
      <c r="D39" s="50" t="s">
        <v>95</v>
      </c>
      <c r="E39" s="14">
        <f>E41+E42</f>
        <v>124000</v>
      </c>
      <c r="F39" s="14">
        <f>F41</f>
        <v>0</v>
      </c>
    </row>
    <row r="40" spans="1:6" ht="9.75" customHeight="1" hidden="1">
      <c r="A40" s="20"/>
      <c r="B40" s="20"/>
      <c r="C40" s="54"/>
      <c r="D40" s="153" t="s">
        <v>248</v>
      </c>
      <c r="E40" s="54"/>
      <c r="F40" s="54"/>
    </row>
    <row r="41" spans="1:6" ht="15" customHeight="1" hidden="1">
      <c r="A41" s="20"/>
      <c r="B41" s="20"/>
      <c r="C41" s="54"/>
      <c r="D41" s="20" t="s">
        <v>568</v>
      </c>
      <c r="E41" s="54">
        <v>100000</v>
      </c>
      <c r="F41" s="54">
        <v>0</v>
      </c>
    </row>
    <row r="42" spans="1:6" ht="15" customHeight="1" hidden="1">
      <c r="A42" s="20"/>
      <c r="B42" s="20"/>
      <c r="C42" s="54"/>
      <c r="D42" s="20" t="s">
        <v>567</v>
      </c>
      <c r="E42" s="54">
        <v>24000</v>
      </c>
      <c r="F42" s="54">
        <v>0</v>
      </c>
    </row>
    <row r="43" spans="1:6" ht="15" customHeight="1" hidden="1">
      <c r="A43" s="50">
        <v>600</v>
      </c>
      <c r="B43" s="50">
        <v>60014</v>
      </c>
      <c r="C43" s="14">
        <v>6610</v>
      </c>
      <c r="D43" s="14" t="s">
        <v>566</v>
      </c>
      <c r="E43" s="54">
        <f>E45</f>
        <v>0</v>
      </c>
      <c r="F43" s="14">
        <f>F45</f>
        <v>0</v>
      </c>
    </row>
    <row r="44" spans="1:6" ht="11.25" customHeight="1" hidden="1">
      <c r="A44" s="20"/>
      <c r="B44" s="20"/>
      <c r="C44" s="54"/>
      <c r="D44" s="153" t="s">
        <v>248</v>
      </c>
      <c r="E44" s="54"/>
      <c r="F44" s="54"/>
    </row>
    <row r="45" spans="1:6" ht="15" customHeight="1" hidden="1">
      <c r="A45" s="20"/>
      <c r="B45" s="20"/>
      <c r="C45" s="54"/>
      <c r="D45" s="20" t="s">
        <v>568</v>
      </c>
      <c r="E45" s="54">
        <v>0</v>
      </c>
      <c r="F45" s="54">
        <v>0</v>
      </c>
    </row>
    <row r="46" spans="1:6" ht="15.75" customHeight="1" hidden="1">
      <c r="A46" s="14">
        <v>630</v>
      </c>
      <c r="B46" s="14">
        <v>63001</v>
      </c>
      <c r="C46" s="14">
        <v>6620</v>
      </c>
      <c r="D46" s="14" t="s">
        <v>559</v>
      </c>
      <c r="E46" s="14">
        <f>E48</f>
        <v>0</v>
      </c>
      <c r="F46" s="14">
        <v>0</v>
      </c>
    </row>
    <row r="47" spans="1:6" ht="12" customHeight="1" hidden="1">
      <c r="A47" s="54"/>
      <c r="B47" s="54"/>
      <c r="C47" s="54"/>
      <c r="D47" s="153" t="s">
        <v>248</v>
      </c>
      <c r="E47" s="54"/>
      <c r="F47" s="54">
        <v>0</v>
      </c>
    </row>
    <row r="48" spans="1:6" ht="26.25" customHeight="1" hidden="1">
      <c r="A48" s="54"/>
      <c r="B48" s="54"/>
      <c r="C48" s="54"/>
      <c r="D48" s="104" t="s">
        <v>561</v>
      </c>
      <c r="E48" s="54">
        <v>0</v>
      </c>
      <c r="F48" s="54">
        <v>0</v>
      </c>
    </row>
    <row r="49" spans="1:6" ht="17.25" customHeight="1" hidden="1">
      <c r="A49" s="14">
        <v>630</v>
      </c>
      <c r="B49" s="14">
        <v>63001</v>
      </c>
      <c r="C49" s="14">
        <v>6610</v>
      </c>
      <c r="D49" s="14" t="s">
        <v>559</v>
      </c>
      <c r="E49" s="54">
        <v>0</v>
      </c>
      <c r="F49" s="14">
        <f>F51</f>
        <v>0</v>
      </c>
    </row>
    <row r="50" spans="1:6" ht="10.5" customHeight="1" hidden="1">
      <c r="A50" s="54"/>
      <c r="B50" s="54"/>
      <c r="C50" s="54"/>
      <c r="D50" s="153" t="s">
        <v>248</v>
      </c>
      <c r="E50" s="54">
        <v>0</v>
      </c>
      <c r="F50" s="54"/>
    </row>
    <row r="51" spans="1:6" ht="15.75" customHeight="1" hidden="1">
      <c r="A51" s="54"/>
      <c r="B51" s="54"/>
      <c r="C51" s="54"/>
      <c r="D51" s="104" t="s">
        <v>568</v>
      </c>
      <c r="E51" s="54">
        <v>0</v>
      </c>
      <c r="F51" s="54">
        <v>0</v>
      </c>
    </row>
    <row r="52" spans="1:6" ht="15.75" customHeight="1" hidden="1">
      <c r="A52" s="24" t="s">
        <v>602</v>
      </c>
      <c r="B52" s="24" t="s">
        <v>367</v>
      </c>
      <c r="C52" s="14">
        <v>2310</v>
      </c>
      <c r="D52" s="52" t="s">
        <v>692</v>
      </c>
      <c r="E52" s="14">
        <v>0</v>
      </c>
      <c r="F52" s="14">
        <f>F54</f>
        <v>0</v>
      </c>
    </row>
    <row r="53" spans="1:6" ht="11.25" customHeight="1" hidden="1">
      <c r="A53" s="32"/>
      <c r="B53" s="32"/>
      <c r="C53" s="54"/>
      <c r="D53" s="152" t="s">
        <v>248</v>
      </c>
      <c r="E53" s="54">
        <v>0</v>
      </c>
      <c r="F53" s="54"/>
    </row>
    <row r="54" spans="1:6" ht="15.75" customHeight="1" hidden="1">
      <c r="A54" s="32"/>
      <c r="B54" s="32"/>
      <c r="C54" s="54"/>
      <c r="D54" s="104" t="s">
        <v>543</v>
      </c>
      <c r="E54" s="54">
        <v>0</v>
      </c>
      <c r="F54" s="54">
        <v>0</v>
      </c>
    </row>
    <row r="55" spans="1:6" ht="27" customHeight="1">
      <c r="A55" s="182">
        <v>801</v>
      </c>
      <c r="B55" s="182">
        <v>80146</v>
      </c>
      <c r="C55" s="216">
        <v>2320</v>
      </c>
      <c r="D55" s="221" t="s">
        <v>249</v>
      </c>
      <c r="E55" s="216">
        <f>E57</f>
        <v>0</v>
      </c>
      <c r="F55" s="216">
        <f>F57</f>
        <v>3000</v>
      </c>
    </row>
    <row r="56" spans="1:6" ht="10.5" customHeight="1">
      <c r="A56" s="2"/>
      <c r="B56" s="2"/>
      <c r="C56" s="2"/>
      <c r="D56" s="153" t="s">
        <v>248</v>
      </c>
      <c r="E56" s="2"/>
      <c r="F56" s="2"/>
    </row>
    <row r="57" spans="1:6" ht="15" customHeight="1">
      <c r="A57" s="2"/>
      <c r="B57" s="2"/>
      <c r="C57" s="2">
        <v>2320</v>
      </c>
      <c r="D57" s="16" t="s">
        <v>531</v>
      </c>
      <c r="E57" s="2">
        <v>0</v>
      </c>
      <c r="F57" s="2">
        <f>'Z 2'!P268</f>
        <v>3000</v>
      </c>
    </row>
    <row r="58" spans="1:6" ht="24" customHeight="1">
      <c r="A58" s="216">
        <v>852</v>
      </c>
      <c r="B58" s="182">
        <v>85201</v>
      </c>
      <c r="C58" s="216">
        <v>2320</v>
      </c>
      <c r="D58" s="228" t="s">
        <v>699</v>
      </c>
      <c r="E58" s="216">
        <f>E60+E61+E62+E63+E68+E69+E70</f>
        <v>64030</v>
      </c>
      <c r="F58" s="216">
        <f>F60+F61+F62+F63</f>
        <v>78494</v>
      </c>
    </row>
    <row r="59" spans="1:6" ht="10.5" customHeight="1">
      <c r="A59" s="2"/>
      <c r="B59" s="2"/>
      <c r="C59" s="2"/>
      <c r="D59" s="154" t="s">
        <v>248</v>
      </c>
      <c r="E59" s="2"/>
      <c r="F59" s="2"/>
    </row>
    <row r="60" spans="1:6" ht="15" customHeight="1">
      <c r="A60" s="2"/>
      <c r="B60" s="2"/>
      <c r="C60" s="2">
        <v>2320</v>
      </c>
      <c r="D60" s="29" t="s">
        <v>451</v>
      </c>
      <c r="E60" s="2">
        <v>3141</v>
      </c>
      <c r="F60" s="2">
        <v>14004</v>
      </c>
    </row>
    <row r="61" spans="1:6" ht="18" customHeight="1">
      <c r="A61" s="2"/>
      <c r="B61" s="2"/>
      <c r="C61" s="2">
        <v>2320</v>
      </c>
      <c r="D61" s="29" t="s">
        <v>452</v>
      </c>
      <c r="E61" s="2">
        <v>0</v>
      </c>
      <c r="F61" s="2">
        <v>7986</v>
      </c>
    </row>
    <row r="62" spans="1:6" ht="21" customHeight="1">
      <c r="A62" s="2"/>
      <c r="B62" s="2"/>
      <c r="C62" s="2">
        <v>2320</v>
      </c>
      <c r="D62" s="29" t="s">
        <v>453</v>
      </c>
      <c r="E62" s="2">
        <v>0</v>
      </c>
      <c r="F62" s="2">
        <v>22050</v>
      </c>
    </row>
    <row r="63" spans="1:6" ht="15" customHeight="1">
      <c r="A63" s="2"/>
      <c r="B63" s="2"/>
      <c r="C63" s="2">
        <v>2320</v>
      </c>
      <c r="D63" s="16" t="s">
        <v>454</v>
      </c>
      <c r="E63" s="2">
        <v>33828</v>
      </c>
      <c r="F63" s="2">
        <v>34454</v>
      </c>
    </row>
    <row r="64" spans="1:6" ht="25.5" customHeight="1" hidden="1">
      <c r="A64" s="6">
        <v>854</v>
      </c>
      <c r="B64" s="6">
        <v>85417</v>
      </c>
      <c r="C64" s="14">
        <v>2310</v>
      </c>
      <c r="D64" s="3" t="s">
        <v>250</v>
      </c>
      <c r="E64" s="14">
        <v>0</v>
      </c>
      <c r="F64" s="14">
        <f>F66+F67</f>
        <v>0</v>
      </c>
    </row>
    <row r="65" spans="1:6" ht="7.5" customHeight="1" hidden="1">
      <c r="A65" s="7"/>
      <c r="B65" s="7"/>
      <c r="C65" s="2"/>
      <c r="D65" s="137" t="s">
        <v>248</v>
      </c>
      <c r="E65" s="2"/>
      <c r="F65" s="2"/>
    </row>
    <row r="66" spans="1:6" ht="18" customHeight="1" hidden="1">
      <c r="A66" s="7"/>
      <c r="B66" s="7"/>
      <c r="C66" s="2"/>
      <c r="D66" s="55" t="s">
        <v>251</v>
      </c>
      <c r="E66" s="2">
        <v>0</v>
      </c>
      <c r="F66" s="2">
        <v>0</v>
      </c>
    </row>
    <row r="67" spans="1:6" ht="15" customHeight="1" hidden="1">
      <c r="A67" s="7"/>
      <c r="B67" s="7"/>
      <c r="C67" s="2"/>
      <c r="D67" s="55" t="s">
        <v>252</v>
      </c>
      <c r="E67" s="2">
        <v>0</v>
      </c>
      <c r="F67" s="2">
        <v>0</v>
      </c>
    </row>
    <row r="68" spans="1:6" ht="15" customHeight="1">
      <c r="A68" s="7"/>
      <c r="B68" s="7"/>
      <c r="C68" s="2">
        <v>2320</v>
      </c>
      <c r="D68" s="55" t="s">
        <v>456</v>
      </c>
      <c r="E68" s="2">
        <v>13531</v>
      </c>
      <c r="F68" s="2"/>
    </row>
    <row r="69" spans="1:6" ht="15" customHeight="1">
      <c r="A69" s="7"/>
      <c r="B69" s="7"/>
      <c r="C69" s="2">
        <v>2320</v>
      </c>
      <c r="D69" s="55" t="s">
        <v>457</v>
      </c>
      <c r="E69" s="2">
        <v>6765</v>
      </c>
      <c r="F69" s="2"/>
    </row>
    <row r="70" spans="1:6" ht="15" customHeight="1">
      <c r="A70" s="7"/>
      <c r="B70" s="7"/>
      <c r="C70" s="2">
        <v>2320</v>
      </c>
      <c r="D70" s="55" t="s">
        <v>455</v>
      </c>
      <c r="E70" s="2">
        <v>6765</v>
      </c>
      <c r="F70" s="2">
        <v>0</v>
      </c>
    </row>
    <row r="71" spans="1:7" ht="15" customHeight="1">
      <c r="A71" s="186">
        <v>852</v>
      </c>
      <c r="B71" s="186">
        <v>85204</v>
      </c>
      <c r="C71" s="216"/>
      <c r="D71" s="229" t="s">
        <v>247</v>
      </c>
      <c r="E71" s="216">
        <f>E73+E74+E75+E76</f>
        <v>15075</v>
      </c>
      <c r="F71" s="216">
        <f>F73+F74+F75+F76+F77</f>
        <v>6499</v>
      </c>
      <c r="G71" s="34"/>
    </row>
    <row r="72" spans="1:6" ht="11.25" customHeight="1">
      <c r="A72" s="7"/>
      <c r="B72" s="7"/>
      <c r="C72" s="2"/>
      <c r="D72" s="55" t="s">
        <v>248</v>
      </c>
      <c r="E72" s="2"/>
      <c r="F72" s="2"/>
    </row>
    <row r="73" spans="1:6" ht="15" customHeight="1">
      <c r="A73" s="7"/>
      <c r="B73" s="7"/>
      <c r="C73" s="2">
        <v>2310</v>
      </c>
      <c r="D73" s="55" t="s">
        <v>535</v>
      </c>
      <c r="E73" s="2">
        <v>0</v>
      </c>
      <c r="F73" s="2">
        <v>3581</v>
      </c>
    </row>
    <row r="74" spans="1:6" ht="14.25" customHeight="1">
      <c r="A74" s="7"/>
      <c r="B74" s="7"/>
      <c r="C74" s="2">
        <v>2320</v>
      </c>
      <c r="D74" s="55" t="s">
        <v>536</v>
      </c>
      <c r="E74" s="2">
        <v>5835</v>
      </c>
      <c r="F74" s="2">
        <v>1945</v>
      </c>
    </row>
    <row r="75" spans="1:6" ht="14.25" customHeight="1">
      <c r="A75" s="7"/>
      <c r="B75" s="7"/>
      <c r="C75" s="2">
        <v>2320</v>
      </c>
      <c r="D75" s="55" t="s">
        <v>448</v>
      </c>
      <c r="E75" s="2">
        <v>0</v>
      </c>
      <c r="F75" s="2">
        <v>0</v>
      </c>
    </row>
    <row r="76" spans="1:6" ht="15" customHeight="1">
      <c r="A76" s="7"/>
      <c r="B76" s="7"/>
      <c r="C76" s="2">
        <v>2320</v>
      </c>
      <c r="D76" s="55" t="s">
        <v>537</v>
      </c>
      <c r="E76" s="2">
        <v>9240</v>
      </c>
      <c r="F76" s="2">
        <v>0</v>
      </c>
    </row>
    <row r="77" spans="1:6" ht="14.25" customHeight="1">
      <c r="A77" s="18"/>
      <c r="B77" s="18"/>
      <c r="C77" s="54">
        <v>2320</v>
      </c>
      <c r="D77" s="126" t="s">
        <v>718</v>
      </c>
      <c r="E77" s="54">
        <v>0</v>
      </c>
      <c r="F77" s="54">
        <v>973</v>
      </c>
    </row>
    <row r="78" spans="1:6" ht="24.75" customHeight="1">
      <c r="A78" s="186">
        <v>750</v>
      </c>
      <c r="B78" s="186">
        <v>75018</v>
      </c>
      <c r="C78" s="216">
        <v>2330</v>
      </c>
      <c r="D78" s="229" t="s">
        <v>544</v>
      </c>
      <c r="E78" s="216">
        <f>E80</f>
        <v>0</v>
      </c>
      <c r="F78" s="216">
        <f>F80</f>
        <v>0</v>
      </c>
    </row>
    <row r="79" spans="1:6" ht="13.5" customHeight="1">
      <c r="A79" s="18"/>
      <c r="B79" s="18"/>
      <c r="C79" s="54"/>
      <c r="D79" s="126" t="s">
        <v>248</v>
      </c>
      <c r="E79" s="54"/>
      <c r="F79" s="54"/>
    </row>
    <row r="80" spans="1:6" ht="22.5" customHeight="1">
      <c r="A80" s="18"/>
      <c r="B80" s="18"/>
      <c r="C80" s="54"/>
      <c r="D80" s="126" t="s">
        <v>539</v>
      </c>
      <c r="E80" s="54">
        <v>0</v>
      </c>
      <c r="F80" s="54">
        <f>'Z 2'!P97</f>
        <v>0</v>
      </c>
    </row>
    <row r="81" spans="1:6" ht="21.75" customHeight="1">
      <c r="A81" s="186">
        <v>750</v>
      </c>
      <c r="B81" s="186">
        <v>75020</v>
      </c>
      <c r="C81" s="216">
        <v>2310</v>
      </c>
      <c r="D81" s="229" t="s">
        <v>687</v>
      </c>
      <c r="E81" s="216">
        <f>E83+E84</f>
        <v>0</v>
      </c>
      <c r="F81" s="216">
        <f>F83+F84</f>
        <v>2502</v>
      </c>
    </row>
    <row r="82" spans="1:6" ht="12" customHeight="1">
      <c r="A82" s="18"/>
      <c r="B82" s="18"/>
      <c r="C82" s="54"/>
      <c r="D82" s="126" t="s">
        <v>248</v>
      </c>
      <c r="E82" s="54"/>
      <c r="F82" s="54"/>
    </row>
    <row r="83" spans="1:6" ht="15.75" customHeight="1">
      <c r="A83" s="18"/>
      <c r="B83" s="18"/>
      <c r="C83" s="54">
        <v>2310</v>
      </c>
      <c r="D83" s="126" t="s">
        <v>532</v>
      </c>
      <c r="E83" s="54">
        <v>0</v>
      </c>
      <c r="F83" s="54">
        <v>1251</v>
      </c>
    </row>
    <row r="84" spans="1:6" ht="15.75" customHeight="1">
      <c r="A84" s="18"/>
      <c r="B84" s="18"/>
      <c r="C84" s="54">
        <v>2310</v>
      </c>
      <c r="D84" s="126" t="s">
        <v>449</v>
      </c>
      <c r="E84" s="54">
        <v>0</v>
      </c>
      <c r="F84" s="54">
        <v>1251</v>
      </c>
    </row>
    <row r="85" spans="1:6" ht="24" customHeight="1">
      <c r="A85" s="186">
        <v>750</v>
      </c>
      <c r="B85" s="186">
        <v>75075</v>
      </c>
      <c r="C85" s="216">
        <v>2310</v>
      </c>
      <c r="D85" s="214" t="s">
        <v>160</v>
      </c>
      <c r="E85" s="216">
        <f>E87</f>
        <v>0</v>
      </c>
      <c r="F85" s="216">
        <f>F87</f>
        <v>0</v>
      </c>
    </row>
    <row r="86" spans="1:6" ht="10.5" customHeight="1">
      <c r="A86" s="18"/>
      <c r="B86" s="18"/>
      <c r="C86" s="54"/>
      <c r="D86" s="126" t="s">
        <v>248</v>
      </c>
      <c r="E86" s="54"/>
      <c r="F86" s="54"/>
    </row>
    <row r="87" spans="1:6" ht="15.75" customHeight="1">
      <c r="A87" s="18"/>
      <c r="B87" s="18"/>
      <c r="C87" s="54">
        <v>2310</v>
      </c>
      <c r="D87" s="126"/>
      <c r="E87" s="54">
        <v>0</v>
      </c>
      <c r="F87" s="54">
        <v>0</v>
      </c>
    </row>
    <row r="88" spans="1:6" ht="15.75" customHeight="1">
      <c r="A88" s="186">
        <v>851</v>
      </c>
      <c r="B88" s="186">
        <v>85111</v>
      </c>
      <c r="C88" s="216">
        <v>6619</v>
      </c>
      <c r="D88" s="229" t="s">
        <v>95</v>
      </c>
      <c r="E88" s="216">
        <f>E90+E91+E92+E93</f>
        <v>0</v>
      </c>
      <c r="F88" s="216">
        <f>F90+F91+F93</f>
        <v>0</v>
      </c>
    </row>
    <row r="89" spans="1:6" ht="12" customHeight="1">
      <c r="A89" s="18"/>
      <c r="B89" s="18"/>
      <c r="C89" s="54"/>
      <c r="D89" s="126" t="s">
        <v>248</v>
      </c>
      <c r="E89" s="54"/>
      <c r="F89" s="54"/>
    </row>
    <row r="90" spans="1:6" ht="15.75" customHeight="1">
      <c r="A90" s="18"/>
      <c r="B90" s="18"/>
      <c r="C90" s="54">
        <v>6619</v>
      </c>
      <c r="D90" s="126" t="s">
        <v>538</v>
      </c>
      <c r="E90" s="54">
        <v>0</v>
      </c>
      <c r="F90" s="54">
        <v>0</v>
      </c>
    </row>
    <row r="91" spans="1:6" ht="15.75" customHeight="1">
      <c r="A91" s="18"/>
      <c r="B91" s="18"/>
      <c r="C91" s="54">
        <v>6619</v>
      </c>
      <c r="D91" s="126" t="s">
        <v>532</v>
      </c>
      <c r="E91" s="54">
        <v>0</v>
      </c>
      <c r="F91" s="54">
        <v>0</v>
      </c>
    </row>
    <row r="92" spans="1:6" ht="15.75" customHeight="1">
      <c r="A92" s="18"/>
      <c r="B92" s="18"/>
      <c r="C92" s="54">
        <v>6619</v>
      </c>
      <c r="D92" s="126" t="s">
        <v>450</v>
      </c>
      <c r="E92" s="54">
        <v>0</v>
      </c>
      <c r="F92" s="54"/>
    </row>
    <row r="93" spans="1:6" ht="15.75" customHeight="1">
      <c r="A93" s="18"/>
      <c r="B93" s="18"/>
      <c r="C93" s="54">
        <v>6619</v>
      </c>
      <c r="D93" s="126" t="s">
        <v>533</v>
      </c>
      <c r="E93" s="54">
        <v>0</v>
      </c>
      <c r="F93" s="54">
        <v>0</v>
      </c>
    </row>
    <row r="94" spans="1:6" ht="15.75" customHeight="1">
      <c r="A94" s="186">
        <v>854</v>
      </c>
      <c r="B94" s="186">
        <v>85417</v>
      </c>
      <c r="C94" s="216">
        <v>2310</v>
      </c>
      <c r="D94" s="229" t="s">
        <v>540</v>
      </c>
      <c r="E94" s="216">
        <f>E96</f>
        <v>0</v>
      </c>
      <c r="F94" s="216">
        <f>F96</f>
        <v>0</v>
      </c>
    </row>
    <row r="95" spans="1:6" ht="13.5" customHeight="1">
      <c r="A95" s="18"/>
      <c r="B95" s="18"/>
      <c r="C95" s="54"/>
      <c r="D95" s="126" t="s">
        <v>248</v>
      </c>
      <c r="E95" s="54"/>
      <c r="F95" s="54"/>
    </row>
    <row r="96" spans="1:6" ht="15.75" customHeight="1">
      <c r="A96" s="18"/>
      <c r="B96" s="18"/>
      <c r="C96" s="54">
        <v>2310</v>
      </c>
      <c r="D96" s="126" t="s">
        <v>533</v>
      </c>
      <c r="E96" s="54">
        <v>0</v>
      </c>
      <c r="F96" s="54">
        <f>'Z 2'!P447</f>
        <v>0</v>
      </c>
    </row>
    <row r="97" spans="1:6" ht="26.25" customHeight="1">
      <c r="A97" s="186">
        <v>921</v>
      </c>
      <c r="B97" s="186">
        <v>92116</v>
      </c>
      <c r="C97" s="216">
        <v>6630</v>
      </c>
      <c r="D97" s="229" t="s">
        <v>253</v>
      </c>
      <c r="E97" s="216">
        <f>E99</f>
        <v>0</v>
      </c>
      <c r="F97" s="216">
        <f>F99</f>
        <v>0</v>
      </c>
    </row>
    <row r="98" spans="1:6" ht="12" customHeight="1">
      <c r="A98" s="18"/>
      <c r="B98" s="18"/>
      <c r="C98" s="54"/>
      <c r="D98" s="126" t="s">
        <v>248</v>
      </c>
      <c r="E98" s="54"/>
      <c r="F98" s="54"/>
    </row>
    <row r="99" spans="1:6" ht="15.75" customHeight="1">
      <c r="A99" s="18"/>
      <c r="B99" s="18"/>
      <c r="C99" s="54">
        <v>6630</v>
      </c>
      <c r="D99" s="126" t="s">
        <v>63</v>
      </c>
      <c r="E99" s="54">
        <v>0</v>
      </c>
      <c r="F99" s="54">
        <v>0</v>
      </c>
    </row>
    <row r="100" spans="1:6" ht="27.75" customHeight="1">
      <c r="A100" s="186">
        <v>921</v>
      </c>
      <c r="B100" s="186">
        <v>92116</v>
      </c>
      <c r="C100" s="216">
        <v>2310</v>
      </c>
      <c r="D100" s="229" t="s">
        <v>253</v>
      </c>
      <c r="E100" s="216">
        <v>0</v>
      </c>
      <c r="F100" s="216">
        <f>F102</f>
        <v>8250</v>
      </c>
    </row>
    <row r="101" spans="1:6" ht="11.25" customHeight="1">
      <c r="A101" s="7"/>
      <c r="B101" s="7"/>
      <c r="C101" s="2"/>
      <c r="D101" s="156" t="s">
        <v>248</v>
      </c>
      <c r="E101" s="2"/>
      <c r="F101" s="2"/>
    </row>
    <row r="102" spans="1:6" ht="15" customHeight="1">
      <c r="A102" s="7"/>
      <c r="B102" s="7"/>
      <c r="C102" s="2">
        <v>2310</v>
      </c>
      <c r="D102" s="55" t="s">
        <v>534</v>
      </c>
      <c r="E102" s="2">
        <v>0</v>
      </c>
      <c r="F102" s="2">
        <f>'Z 2'!P455</f>
        <v>8250</v>
      </c>
    </row>
    <row r="103" spans="1:6" ht="15" customHeight="1" hidden="1">
      <c r="A103" s="6">
        <v>921</v>
      </c>
      <c r="B103" s="6">
        <v>92195</v>
      </c>
      <c r="C103" s="14">
        <v>2310</v>
      </c>
      <c r="D103" s="56" t="s">
        <v>692</v>
      </c>
      <c r="E103" s="14">
        <f>E105</f>
        <v>0</v>
      </c>
      <c r="F103" s="14">
        <f>F105</f>
        <v>0</v>
      </c>
    </row>
    <row r="104" spans="1:6" ht="10.5" customHeight="1" hidden="1">
      <c r="A104" s="7"/>
      <c r="B104" s="7"/>
      <c r="C104" s="2"/>
      <c r="D104" s="155" t="s">
        <v>248</v>
      </c>
      <c r="E104" s="2"/>
      <c r="F104" s="2"/>
    </row>
    <row r="105" spans="1:6" ht="15" customHeight="1" hidden="1">
      <c r="A105" s="7"/>
      <c r="B105" s="7"/>
      <c r="C105" s="2"/>
      <c r="D105" s="55" t="s">
        <v>568</v>
      </c>
      <c r="E105" s="2">
        <v>0</v>
      </c>
      <c r="F105" s="2">
        <v>0</v>
      </c>
    </row>
    <row r="106" spans="1:7" ht="14.25" customHeight="1">
      <c r="A106" s="238"/>
      <c r="B106" s="238"/>
      <c r="C106" s="237"/>
      <c r="D106" s="239" t="s">
        <v>431</v>
      </c>
      <c r="E106" s="237">
        <f>E6+E18</f>
        <v>211120</v>
      </c>
      <c r="F106" s="237">
        <f>F6+F18</f>
        <v>98745</v>
      </c>
      <c r="G106" s="100"/>
    </row>
    <row r="107" ht="10.5" customHeight="1" hidden="1"/>
    <row r="108" spans="1:6" ht="15" customHeight="1">
      <c r="A108" s="553"/>
      <c r="B108" s="553"/>
      <c r="C108" s="553"/>
      <c r="D108" s="553"/>
      <c r="E108" s="553"/>
      <c r="F108" s="553"/>
    </row>
    <row r="109" spans="1:6" ht="15" customHeight="1">
      <c r="A109" s="85"/>
      <c r="B109" s="85"/>
      <c r="C109" s="85"/>
      <c r="D109" s="85"/>
      <c r="E109" s="85"/>
      <c r="F109" s="85"/>
    </row>
    <row r="110" spans="1:6" ht="13.5" customHeight="1">
      <c r="A110" s="85"/>
      <c r="B110" s="85"/>
      <c r="C110" s="85"/>
      <c r="D110" s="85"/>
      <c r="E110" s="85"/>
      <c r="F110" s="85"/>
    </row>
    <row r="111" spans="1:6" ht="14.25" customHeight="1">
      <c r="A111" s="85"/>
      <c r="B111" s="85"/>
      <c r="C111" s="85"/>
      <c r="D111" s="85"/>
      <c r="E111" s="85"/>
      <c r="F111" s="85"/>
    </row>
    <row r="112" spans="1:6" ht="11.25" customHeight="1">
      <c r="A112" s="85"/>
      <c r="B112" s="85"/>
      <c r="C112" s="85"/>
      <c r="D112" s="85"/>
      <c r="E112" s="85"/>
      <c r="F112" s="85"/>
    </row>
    <row r="113" spans="1:6" ht="12.75" customHeight="1">
      <c r="A113" s="85"/>
      <c r="B113" s="85"/>
      <c r="C113" s="85"/>
      <c r="D113" s="85"/>
      <c r="E113" s="85"/>
      <c r="F113" s="85"/>
    </row>
    <row r="114" spans="1:6" ht="13.5" customHeight="1">
      <c r="A114" s="85"/>
      <c r="B114" s="85"/>
      <c r="C114" s="85"/>
      <c r="D114" s="85"/>
      <c r="E114" s="85"/>
      <c r="F114" s="85"/>
    </row>
    <row r="115" spans="1:6" ht="12.75" customHeight="1">
      <c r="A115" s="85"/>
      <c r="B115" s="85"/>
      <c r="C115" s="85"/>
      <c r="D115" s="85"/>
      <c r="E115" s="85"/>
      <c r="F115" s="85"/>
    </row>
    <row r="116" spans="1:6" ht="18" customHeight="1">
      <c r="A116" s="552"/>
      <c r="B116" s="553"/>
      <c r="C116" s="553"/>
      <c r="D116" s="553"/>
      <c r="E116" s="553"/>
      <c r="F116" s="553"/>
    </row>
    <row r="117" spans="1:6" ht="14.25" customHeight="1">
      <c r="A117" s="85"/>
      <c r="B117" s="85"/>
      <c r="C117" s="85"/>
      <c r="D117" s="85"/>
      <c r="E117" s="85"/>
      <c r="F117" s="85"/>
    </row>
    <row r="118" spans="1:6" ht="14.25" customHeight="1">
      <c r="A118" s="85"/>
      <c r="B118" s="85"/>
      <c r="C118" s="85"/>
      <c r="D118" s="85"/>
      <c r="E118" s="85"/>
      <c r="F118" s="85"/>
    </row>
    <row r="119" spans="1:6" ht="15" customHeight="1">
      <c r="A119" s="34"/>
      <c r="B119" s="85"/>
      <c r="C119" s="85"/>
      <c r="D119" s="85"/>
      <c r="E119" s="85"/>
      <c r="F119" s="85"/>
    </row>
    <row r="120" spans="1:6" ht="13.5" customHeight="1">
      <c r="A120" s="85"/>
      <c r="B120" s="85"/>
      <c r="C120" s="85"/>
      <c r="D120" s="85"/>
      <c r="E120" s="85"/>
      <c r="F120" s="85"/>
    </row>
    <row r="121" spans="1:6" ht="15.75" customHeight="1">
      <c r="A121" s="85"/>
      <c r="B121" s="85"/>
      <c r="C121" s="85"/>
      <c r="D121" s="85"/>
      <c r="E121" s="85"/>
      <c r="F121" s="85"/>
    </row>
    <row r="122" spans="1:6" ht="15.75" customHeight="1">
      <c r="A122" s="85"/>
      <c r="B122" s="85"/>
      <c r="C122" s="85"/>
      <c r="D122" s="85"/>
      <c r="E122" s="85"/>
      <c r="F122" s="85"/>
    </row>
    <row r="123" spans="1:6" ht="15" customHeight="1">
      <c r="A123" s="85"/>
      <c r="B123" s="85"/>
      <c r="C123" s="85"/>
      <c r="D123" s="85"/>
      <c r="E123" s="85"/>
      <c r="F123" s="85"/>
    </row>
    <row r="124" spans="1:6" ht="24.75" customHeight="1">
      <c r="A124" s="554"/>
      <c r="B124" s="554"/>
      <c r="C124" s="554"/>
      <c r="D124" s="554"/>
      <c r="E124" s="554"/>
      <c r="F124" s="554"/>
    </row>
    <row r="125" spans="1:6" ht="54.75" customHeight="1">
      <c r="A125" s="554"/>
      <c r="B125" s="554"/>
      <c r="C125" s="554"/>
      <c r="D125" s="554"/>
      <c r="E125" s="554"/>
      <c r="F125" s="554"/>
    </row>
    <row r="126" spans="1:6" ht="18" customHeight="1" hidden="1">
      <c r="A126" s="85"/>
      <c r="B126" s="85"/>
      <c r="C126" s="85"/>
      <c r="D126" s="85"/>
      <c r="E126" s="85"/>
      <c r="F126" s="85"/>
    </row>
    <row r="127" spans="1:6" ht="15.75" customHeight="1" hidden="1">
      <c r="A127" s="85"/>
      <c r="B127" s="85"/>
      <c r="C127" s="85"/>
      <c r="D127" s="85"/>
      <c r="E127" s="85"/>
      <c r="F127" s="85"/>
    </row>
    <row r="128" spans="1:6" ht="12.75">
      <c r="A128" s="85"/>
      <c r="B128" s="85"/>
      <c r="C128" s="85"/>
      <c r="D128" s="85"/>
      <c r="E128" s="85"/>
      <c r="F128" s="85"/>
    </row>
    <row r="129" spans="1:6" ht="47.25" customHeight="1">
      <c r="A129" s="555"/>
      <c r="B129" s="555"/>
      <c r="C129" s="555"/>
      <c r="D129" s="555"/>
      <c r="E129" s="555"/>
      <c r="F129" s="555"/>
    </row>
    <row r="130" spans="1:6" ht="26.25" customHeight="1">
      <c r="A130" s="554"/>
      <c r="B130" s="554"/>
      <c r="C130" s="554"/>
      <c r="D130" s="554"/>
      <c r="E130" s="554"/>
      <c r="F130" s="554"/>
    </row>
    <row r="131" spans="1:6" ht="16.5" customHeight="1">
      <c r="A131" s="34"/>
      <c r="B131" s="85"/>
      <c r="C131" s="85"/>
      <c r="D131" s="85"/>
      <c r="E131" s="85"/>
      <c r="F131" s="85"/>
    </row>
    <row r="132" spans="1:6" ht="15" customHeight="1">
      <c r="A132" s="554"/>
      <c r="B132" s="554"/>
      <c r="C132" s="554"/>
      <c r="D132" s="554"/>
      <c r="E132" s="554"/>
      <c r="F132" s="554"/>
    </row>
    <row r="133" spans="1:6" ht="37.5" customHeight="1">
      <c r="A133" s="554"/>
      <c r="B133" s="554"/>
      <c r="C133" s="554"/>
      <c r="D133" s="554"/>
      <c r="E133" s="554"/>
      <c r="F133" s="554"/>
    </row>
    <row r="134" spans="1:6" ht="27.75" customHeight="1">
      <c r="A134" s="554"/>
      <c r="B134" s="554"/>
      <c r="C134" s="554"/>
      <c r="D134" s="554"/>
      <c r="E134" s="554"/>
      <c r="F134" s="554"/>
    </row>
    <row r="135" spans="1:6" ht="27.75" customHeight="1">
      <c r="A135" s="554"/>
      <c r="B135" s="554"/>
      <c r="C135" s="554"/>
      <c r="D135" s="554"/>
      <c r="E135" s="554"/>
      <c r="F135" s="554"/>
    </row>
    <row r="136" spans="1:6" ht="12.75">
      <c r="A136" s="552"/>
      <c r="B136" s="553"/>
      <c r="C136" s="553"/>
      <c r="D136" s="553"/>
      <c r="E136" s="553"/>
      <c r="F136" s="553"/>
    </row>
    <row r="137" spans="1:6" ht="12.75">
      <c r="A137" s="85"/>
      <c r="B137" s="85"/>
      <c r="C137" s="85"/>
      <c r="D137" s="85"/>
      <c r="E137" s="85"/>
      <c r="F137" s="85"/>
    </row>
    <row r="138" spans="1:6" ht="12.75">
      <c r="A138" s="85"/>
      <c r="B138" s="85"/>
      <c r="C138" s="85"/>
      <c r="D138" s="85"/>
      <c r="E138" s="85"/>
      <c r="F138" s="85"/>
    </row>
    <row r="139" spans="1:6" ht="12.75">
      <c r="A139" s="85"/>
      <c r="B139" s="85"/>
      <c r="C139" s="85"/>
      <c r="D139" s="85"/>
      <c r="E139" s="85"/>
      <c r="F139" s="85"/>
    </row>
    <row r="140" spans="1:6" ht="12.75">
      <c r="A140" s="85"/>
      <c r="B140" s="85"/>
      <c r="C140" s="85"/>
      <c r="D140" s="85"/>
      <c r="E140" s="85"/>
      <c r="F140" s="85"/>
    </row>
    <row r="141" spans="1:6" ht="29.25" customHeight="1">
      <c r="A141" s="85"/>
      <c r="B141" s="85"/>
      <c r="C141" s="85"/>
      <c r="D141" s="551"/>
      <c r="E141" s="551"/>
      <c r="F141" s="551"/>
    </row>
  </sheetData>
  <mergeCells count="18">
    <mergeCell ref="D3:D4"/>
    <mergeCell ref="E3:E4"/>
    <mergeCell ref="F3:F4"/>
    <mergeCell ref="C1:F1"/>
    <mergeCell ref="A2:F2"/>
    <mergeCell ref="A3:C3"/>
    <mergeCell ref="A108:F108"/>
    <mergeCell ref="A116:F116"/>
    <mergeCell ref="A125:F125"/>
    <mergeCell ref="A124:F124"/>
    <mergeCell ref="D141:F141"/>
    <mergeCell ref="A136:F136"/>
    <mergeCell ref="A132:F132"/>
    <mergeCell ref="A129:F129"/>
    <mergeCell ref="A130:F130"/>
    <mergeCell ref="A134:F134"/>
    <mergeCell ref="A135:F135"/>
    <mergeCell ref="A133:F13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D1">
      <selection activeCell="I2" sqref="I2:N2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2" spans="4:14" ht="17.25" customHeight="1">
      <c r="D2" s="83"/>
      <c r="E2" s="83"/>
      <c r="I2" s="559" t="s">
        <v>727</v>
      </c>
      <c r="J2" s="559"/>
      <c r="K2" s="559"/>
      <c r="L2" s="559"/>
      <c r="M2" s="559"/>
      <c r="N2" s="559"/>
    </row>
    <row r="3" spans="1:14" ht="27" customHeight="1">
      <c r="A3" s="565" t="s">
        <v>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4" ht="13.5" customHeight="1">
      <c r="A4" s="563" t="s">
        <v>195</v>
      </c>
      <c r="B4" s="563" t="s">
        <v>196</v>
      </c>
      <c r="C4" s="571" t="s">
        <v>344</v>
      </c>
      <c r="D4" s="571" t="s">
        <v>410</v>
      </c>
      <c r="E4" s="567" t="s">
        <v>327</v>
      </c>
      <c r="F4" s="566"/>
      <c r="G4" s="566"/>
      <c r="H4" s="566"/>
      <c r="I4" s="566"/>
      <c r="J4" s="566"/>
      <c r="K4" s="566"/>
      <c r="L4" s="566"/>
      <c r="M4" s="566"/>
      <c r="N4" s="564" t="s">
        <v>345</v>
      </c>
    </row>
    <row r="5" spans="1:14" ht="12.75" customHeight="1">
      <c r="A5" s="563"/>
      <c r="B5" s="563"/>
      <c r="C5" s="571"/>
      <c r="D5" s="571"/>
      <c r="E5" s="568"/>
      <c r="F5" s="572" t="s">
        <v>3</v>
      </c>
      <c r="G5" s="566" t="s">
        <v>346</v>
      </c>
      <c r="H5" s="566"/>
      <c r="I5" s="566"/>
      <c r="J5" s="566"/>
      <c r="K5" s="135"/>
      <c r="L5" s="563" t="s">
        <v>582</v>
      </c>
      <c r="M5" s="563" t="s">
        <v>413</v>
      </c>
      <c r="N5" s="564"/>
    </row>
    <row r="6" spans="1:14" ht="43.5" customHeight="1">
      <c r="A6" s="563"/>
      <c r="B6" s="563"/>
      <c r="C6" s="571"/>
      <c r="D6" s="571"/>
      <c r="E6" s="569"/>
      <c r="F6" s="573"/>
      <c r="G6" s="364" t="s">
        <v>347</v>
      </c>
      <c r="H6" s="364" t="s">
        <v>348</v>
      </c>
      <c r="I6" s="364" t="s">
        <v>87</v>
      </c>
      <c r="J6" s="364" t="s">
        <v>412</v>
      </c>
      <c r="K6" s="364" t="s">
        <v>420</v>
      </c>
      <c r="L6" s="563"/>
      <c r="M6" s="563"/>
      <c r="N6" s="564"/>
    </row>
    <row r="7" spans="1:14" ht="10.5" customHeight="1">
      <c r="A7" s="130">
        <v>1</v>
      </c>
      <c r="B7" s="130">
        <v>2</v>
      </c>
      <c r="C7" s="130">
        <v>4</v>
      </c>
      <c r="D7" s="130">
        <v>5</v>
      </c>
      <c r="E7" s="130">
        <v>6</v>
      </c>
      <c r="F7" s="130">
        <v>7</v>
      </c>
      <c r="G7" s="130">
        <v>8</v>
      </c>
      <c r="H7" s="130">
        <v>8</v>
      </c>
      <c r="I7" s="130">
        <v>9</v>
      </c>
      <c r="J7" s="130">
        <v>10</v>
      </c>
      <c r="K7" s="130">
        <v>11</v>
      </c>
      <c r="L7" s="130">
        <v>12</v>
      </c>
      <c r="M7" s="131">
        <v>13</v>
      </c>
      <c r="N7" s="130">
        <v>14</v>
      </c>
    </row>
    <row r="8" spans="1:14" ht="47.25" customHeight="1" hidden="1">
      <c r="A8" s="146">
        <v>600</v>
      </c>
      <c r="B8" s="146">
        <v>60014</v>
      </c>
      <c r="C8" s="140" t="s">
        <v>349</v>
      </c>
      <c r="D8" s="84">
        <f>F8+L8+M8</f>
        <v>0</v>
      </c>
      <c r="E8" s="84"/>
      <c r="F8" s="84">
        <f>G8+H8+J8+I8</f>
        <v>0</v>
      </c>
      <c r="G8" s="84"/>
      <c r="H8" s="84"/>
      <c r="I8" s="84"/>
      <c r="J8" s="84"/>
      <c r="K8" s="84"/>
      <c r="L8" s="84"/>
      <c r="M8" s="84"/>
      <c r="N8" s="147" t="s">
        <v>342</v>
      </c>
    </row>
    <row r="9" spans="1:14" ht="31.5" customHeight="1">
      <c r="A9" s="240">
        <v>600</v>
      </c>
      <c r="B9" s="240">
        <v>60014</v>
      </c>
      <c r="C9" s="249" t="s">
        <v>117</v>
      </c>
      <c r="D9" s="275">
        <f>E9+F9+L9+M9</f>
        <v>580160</v>
      </c>
      <c r="E9" s="275">
        <v>578918</v>
      </c>
      <c r="F9" s="275">
        <f aca="true" t="shared" si="0" ref="F9:F22">G9+H9+J9+I9+K9</f>
        <v>1242</v>
      </c>
      <c r="G9" s="275">
        <v>1242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49" t="s">
        <v>324</v>
      </c>
    </row>
    <row r="10" spans="1:14" ht="32.25" customHeight="1">
      <c r="A10" s="240">
        <v>600</v>
      </c>
      <c r="B10" s="240">
        <v>60014</v>
      </c>
      <c r="C10" s="249" t="s">
        <v>116</v>
      </c>
      <c r="D10" s="275">
        <f aca="true" t="shared" si="1" ref="D10:D23">E10+F10+L10+M10</f>
        <v>4229829</v>
      </c>
      <c r="E10" s="275">
        <v>1971733</v>
      </c>
      <c r="F10" s="275">
        <f t="shared" si="0"/>
        <v>3841</v>
      </c>
      <c r="G10" s="275">
        <v>3841</v>
      </c>
      <c r="H10" s="275">
        <v>0</v>
      </c>
      <c r="I10" s="275">
        <v>0</v>
      </c>
      <c r="J10" s="275">
        <v>0</v>
      </c>
      <c r="K10" s="275">
        <v>0</v>
      </c>
      <c r="L10" s="275">
        <v>2254255</v>
      </c>
      <c r="M10" s="275">
        <v>0</v>
      </c>
      <c r="N10" s="249" t="s">
        <v>325</v>
      </c>
    </row>
    <row r="11" spans="1:14" ht="21.75" customHeight="1">
      <c r="A11" s="240">
        <v>600</v>
      </c>
      <c r="B11" s="240">
        <v>60014</v>
      </c>
      <c r="C11" s="249" t="s">
        <v>326</v>
      </c>
      <c r="D11" s="275">
        <f t="shared" si="1"/>
        <v>0</v>
      </c>
      <c r="E11" s="275">
        <v>0</v>
      </c>
      <c r="F11" s="275">
        <f t="shared" si="0"/>
        <v>0</v>
      </c>
      <c r="G11" s="275">
        <v>0</v>
      </c>
      <c r="H11" s="275"/>
      <c r="I11" s="275"/>
      <c r="J11" s="275"/>
      <c r="K11" s="275"/>
      <c r="L11" s="275"/>
      <c r="M11" s="275"/>
      <c r="N11" s="249" t="s">
        <v>324</v>
      </c>
    </row>
    <row r="12" spans="1:14" ht="21.75" customHeight="1">
      <c r="A12" s="240">
        <v>600</v>
      </c>
      <c r="B12" s="240">
        <v>60014</v>
      </c>
      <c r="C12" s="249" t="s">
        <v>415</v>
      </c>
      <c r="D12" s="275">
        <f t="shared" si="1"/>
        <v>0</v>
      </c>
      <c r="E12" s="275">
        <v>0</v>
      </c>
      <c r="F12" s="275">
        <f t="shared" si="0"/>
        <v>0</v>
      </c>
      <c r="G12" s="275">
        <v>0</v>
      </c>
      <c r="H12" s="275"/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6" t="s">
        <v>323</v>
      </c>
    </row>
    <row r="13" spans="1:14" ht="19.5" customHeight="1">
      <c r="A13" s="240">
        <v>600</v>
      </c>
      <c r="B13" s="240">
        <v>60014</v>
      </c>
      <c r="C13" s="249" t="s">
        <v>421</v>
      </c>
      <c r="D13" s="275">
        <f t="shared" si="1"/>
        <v>0</v>
      </c>
      <c r="E13" s="275">
        <v>0</v>
      </c>
      <c r="F13" s="275">
        <f t="shared" si="0"/>
        <v>0</v>
      </c>
      <c r="G13" s="275">
        <v>0</v>
      </c>
      <c r="H13" s="275"/>
      <c r="I13" s="275"/>
      <c r="J13" s="275"/>
      <c r="K13" s="275"/>
      <c r="L13" s="275"/>
      <c r="M13" s="275"/>
      <c r="N13" s="249" t="s">
        <v>324</v>
      </c>
    </row>
    <row r="14" spans="1:14" ht="28.5" customHeight="1">
      <c r="A14" s="240">
        <v>754</v>
      </c>
      <c r="B14" s="240">
        <v>75411</v>
      </c>
      <c r="C14" s="249" t="s">
        <v>702</v>
      </c>
      <c r="D14" s="275">
        <f t="shared" si="1"/>
        <v>0</v>
      </c>
      <c r="E14" s="275"/>
      <c r="F14" s="275">
        <f t="shared" si="0"/>
        <v>0</v>
      </c>
      <c r="G14" s="275"/>
      <c r="H14" s="275"/>
      <c r="I14" s="275"/>
      <c r="J14" s="275">
        <v>0</v>
      </c>
      <c r="K14" s="275"/>
      <c r="L14" s="275"/>
      <c r="M14" s="275"/>
      <c r="N14" s="249" t="s">
        <v>703</v>
      </c>
    </row>
    <row r="15" spans="1:14" ht="27.75" customHeight="1">
      <c r="A15" s="240">
        <v>801</v>
      </c>
      <c r="B15" s="240">
        <v>80111</v>
      </c>
      <c r="C15" s="278" t="s">
        <v>237</v>
      </c>
      <c r="D15" s="275">
        <f t="shared" si="1"/>
        <v>239251</v>
      </c>
      <c r="E15" s="275">
        <v>2500</v>
      </c>
      <c r="F15" s="275">
        <f t="shared" si="0"/>
        <v>236751</v>
      </c>
      <c r="G15" s="275"/>
      <c r="H15" s="275"/>
      <c r="I15" s="275"/>
      <c r="J15" s="275">
        <f>'Z 2'!L202</f>
        <v>236751</v>
      </c>
      <c r="K15" s="275"/>
      <c r="L15" s="275"/>
      <c r="M15" s="275"/>
      <c r="N15" s="249" t="s">
        <v>321</v>
      </c>
    </row>
    <row r="16" spans="1:15" ht="30" customHeight="1">
      <c r="A16" s="138">
        <v>851</v>
      </c>
      <c r="B16" s="138">
        <v>85111</v>
      </c>
      <c r="C16" s="278" t="s">
        <v>236</v>
      </c>
      <c r="D16" s="275">
        <f t="shared" si="1"/>
        <v>4306958</v>
      </c>
      <c r="E16" s="275">
        <v>101860</v>
      </c>
      <c r="F16" s="275">
        <f t="shared" si="0"/>
        <v>1220</v>
      </c>
      <c r="G16" s="277">
        <f>'Z 2'!L292</f>
        <v>1220</v>
      </c>
      <c r="H16" s="277">
        <v>0</v>
      </c>
      <c r="I16" s="277">
        <v>0</v>
      </c>
      <c r="J16" s="277">
        <v>0</v>
      </c>
      <c r="K16" s="277">
        <v>0</v>
      </c>
      <c r="L16" s="277">
        <v>3096542</v>
      </c>
      <c r="M16" s="277">
        <v>1107336</v>
      </c>
      <c r="N16" s="276" t="s">
        <v>323</v>
      </c>
      <c r="O16" s="125"/>
    </row>
    <row r="17" spans="1:15" ht="28.5" customHeight="1">
      <c r="A17" s="138">
        <v>851</v>
      </c>
      <c r="B17" s="138">
        <v>85111</v>
      </c>
      <c r="C17" s="278" t="s">
        <v>436</v>
      </c>
      <c r="D17" s="275">
        <f t="shared" si="1"/>
        <v>21290</v>
      </c>
      <c r="E17" s="275">
        <v>0</v>
      </c>
      <c r="F17" s="275">
        <f t="shared" si="0"/>
        <v>21290</v>
      </c>
      <c r="G17" s="277">
        <f>'Z 2'!L290</f>
        <v>21290</v>
      </c>
      <c r="H17" s="277"/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6" t="s">
        <v>323</v>
      </c>
      <c r="O17" s="125"/>
    </row>
    <row r="18" spans="1:15" ht="20.25" customHeight="1">
      <c r="A18" s="138">
        <v>852</v>
      </c>
      <c r="B18" s="138">
        <v>85202</v>
      </c>
      <c r="C18" s="278" t="s">
        <v>416</v>
      </c>
      <c r="D18" s="275">
        <f t="shared" si="1"/>
        <v>0</v>
      </c>
      <c r="E18" s="277">
        <v>0</v>
      </c>
      <c r="F18" s="277">
        <f t="shared" si="0"/>
        <v>0</v>
      </c>
      <c r="G18" s="277">
        <v>0</v>
      </c>
      <c r="H18" s="277"/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6" t="s">
        <v>422</v>
      </c>
      <c r="O18" s="125"/>
    </row>
    <row r="19" spans="1:15" ht="21" customHeight="1">
      <c r="A19" s="138">
        <v>853</v>
      </c>
      <c r="B19" s="138">
        <v>85333</v>
      </c>
      <c r="C19" s="278" t="s">
        <v>418</v>
      </c>
      <c r="D19" s="275">
        <f t="shared" si="1"/>
        <v>0</v>
      </c>
      <c r="E19" s="275">
        <v>0</v>
      </c>
      <c r="F19" s="277">
        <f t="shared" si="0"/>
        <v>0</v>
      </c>
      <c r="G19" s="277">
        <v>0</v>
      </c>
      <c r="H19" s="277"/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6" t="s">
        <v>417</v>
      </c>
      <c r="O19" s="125"/>
    </row>
    <row r="20" spans="1:15" ht="29.25" customHeight="1">
      <c r="A20" s="138">
        <v>854</v>
      </c>
      <c r="B20" s="138">
        <v>85403</v>
      </c>
      <c r="C20" s="278" t="s">
        <v>238</v>
      </c>
      <c r="D20" s="275">
        <f t="shared" si="1"/>
        <v>177936</v>
      </c>
      <c r="E20" s="275">
        <v>20994</v>
      </c>
      <c r="F20" s="277">
        <f t="shared" si="0"/>
        <v>156942</v>
      </c>
      <c r="G20" s="277"/>
      <c r="H20" s="277"/>
      <c r="I20" s="277"/>
      <c r="J20" s="277">
        <f>'Z 2'!L405</f>
        <v>156942</v>
      </c>
      <c r="K20" s="277"/>
      <c r="L20" s="277"/>
      <c r="M20" s="277"/>
      <c r="N20" s="249" t="s">
        <v>321</v>
      </c>
      <c r="O20" s="125"/>
    </row>
    <row r="21" spans="1:15" ht="29.25" customHeight="1">
      <c r="A21" s="138">
        <v>854</v>
      </c>
      <c r="B21" s="138">
        <v>85410</v>
      </c>
      <c r="C21" s="278" t="s">
        <v>414</v>
      </c>
      <c r="D21" s="277">
        <f t="shared" si="1"/>
        <v>13100</v>
      </c>
      <c r="E21" s="275">
        <v>13100</v>
      </c>
      <c r="F21" s="275">
        <f t="shared" si="0"/>
        <v>0</v>
      </c>
      <c r="G21" s="277">
        <v>0</v>
      </c>
      <c r="H21" s="277"/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6" t="s">
        <v>322</v>
      </c>
      <c r="O21" s="125"/>
    </row>
    <row r="22" spans="1:15" ht="24" customHeight="1" thickBot="1">
      <c r="A22" s="141">
        <v>921</v>
      </c>
      <c r="B22" s="141">
        <v>92116</v>
      </c>
      <c r="C22" s="280" t="s">
        <v>419</v>
      </c>
      <c r="D22" s="282">
        <f t="shared" si="1"/>
        <v>0</v>
      </c>
      <c r="E22" s="281">
        <v>0</v>
      </c>
      <c r="F22" s="275">
        <f t="shared" si="0"/>
        <v>0</v>
      </c>
      <c r="G22" s="275">
        <v>0</v>
      </c>
      <c r="H22" s="275"/>
      <c r="I22" s="275">
        <v>0</v>
      </c>
      <c r="J22" s="275">
        <v>0</v>
      </c>
      <c r="K22" s="275">
        <v>0</v>
      </c>
      <c r="L22" s="275">
        <v>0</v>
      </c>
      <c r="M22" s="275"/>
      <c r="N22" s="279" t="s">
        <v>323</v>
      </c>
      <c r="O22" s="125"/>
    </row>
    <row r="23" spans="1:14" s="37" customFormat="1" ht="18.75" customHeight="1" thickBot="1">
      <c r="A23" s="560" t="s">
        <v>350</v>
      </c>
      <c r="B23" s="561"/>
      <c r="C23" s="562"/>
      <c r="D23" s="358">
        <f t="shared" si="1"/>
        <v>9545030</v>
      </c>
      <c r="E23" s="358">
        <f>E9+E10+E11+E12+E13+E16+E17+E18+E19+E21+E22</f>
        <v>2665611</v>
      </c>
      <c r="F23" s="358">
        <f>F9+F10+F11+F12+F13+F14+F15+F16+F17+F18+F19+F20+F21+F22</f>
        <v>421286</v>
      </c>
      <c r="G23" s="358">
        <f aca="true" t="shared" si="2" ref="G23:M23">G9+G10+G11+G12+G13+G14+G15+G16+G17+G18+G19+G20+G21+G22</f>
        <v>27593</v>
      </c>
      <c r="H23" s="358">
        <f t="shared" si="2"/>
        <v>0</v>
      </c>
      <c r="I23" s="358">
        <f t="shared" si="2"/>
        <v>0</v>
      </c>
      <c r="J23" s="358">
        <f t="shared" si="2"/>
        <v>393693</v>
      </c>
      <c r="K23" s="358">
        <f t="shared" si="2"/>
        <v>0</v>
      </c>
      <c r="L23" s="358">
        <f t="shared" si="2"/>
        <v>5350797</v>
      </c>
      <c r="M23" s="358">
        <f t="shared" si="2"/>
        <v>1107336</v>
      </c>
      <c r="N23" s="358"/>
    </row>
    <row r="24" spans="1:11" ht="3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3" ht="12.75">
      <c r="A25" s="132"/>
      <c r="B25" s="132"/>
      <c r="C25" s="132"/>
      <c r="D25" s="132"/>
      <c r="E25" s="132"/>
      <c r="F25" s="132"/>
      <c r="G25" s="132"/>
      <c r="H25" s="132"/>
      <c r="I25" s="132"/>
      <c r="J25" s="570"/>
      <c r="K25" s="570"/>
      <c r="L25" s="570"/>
      <c r="M25" s="570"/>
    </row>
    <row r="26" spans="1:13" ht="27" customHeight="1">
      <c r="A26" s="132" t="s">
        <v>517</v>
      </c>
      <c r="B26" s="132"/>
      <c r="C26" s="132"/>
      <c r="D26" s="132"/>
      <c r="E26" s="132"/>
      <c r="F26" s="132"/>
      <c r="G26" s="132"/>
      <c r="H26" s="132"/>
      <c r="I26" s="132"/>
      <c r="J26" s="570"/>
      <c r="K26" s="570"/>
      <c r="L26" s="570"/>
      <c r="M26" s="570"/>
    </row>
    <row r="27" spans="1:11" ht="12.75" hidden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1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11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ht="12" customHeight="1"/>
    <row r="32" ht="12.75" hidden="1"/>
    <row r="33" ht="18" customHeight="1"/>
  </sheetData>
  <mergeCells count="16">
    <mergeCell ref="J25:M25"/>
    <mergeCell ref="J26:M26"/>
    <mergeCell ref="D4:D6"/>
    <mergeCell ref="C4:C6"/>
    <mergeCell ref="L5:L6"/>
    <mergeCell ref="F5:F6"/>
    <mergeCell ref="I2:N2"/>
    <mergeCell ref="A23:C23"/>
    <mergeCell ref="M5:M6"/>
    <mergeCell ref="N4:N6"/>
    <mergeCell ref="A3:N3"/>
    <mergeCell ref="A4:A6"/>
    <mergeCell ref="B4:B6"/>
    <mergeCell ref="G5:J5"/>
    <mergeCell ref="F4:M4"/>
    <mergeCell ref="E4:E6"/>
  </mergeCells>
  <printOptions/>
  <pageMargins left="0.1968503937007874" right="0.07874015748031496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C2" sqref="C2:E2"/>
    </sheetView>
  </sheetViews>
  <sheetFormatPr defaultColWidth="9.00390625" defaultRowHeight="12.75"/>
  <cols>
    <col min="1" max="1" width="6.625" style="0" customWidth="1"/>
    <col min="2" max="2" width="31.875" style="0" customWidth="1"/>
    <col min="3" max="3" width="12.125" style="0" customWidth="1"/>
    <col min="4" max="4" width="19.25390625" style="0" customWidth="1"/>
    <col min="5" max="5" width="19.125" style="0" customWidth="1"/>
    <col min="6" max="7" width="27.375" style="0" customWidth="1"/>
  </cols>
  <sheetData>
    <row r="1" ht="12.75" customHeight="1"/>
    <row r="2" spans="3:7" ht="49.5" customHeight="1">
      <c r="C2" s="574" t="s">
        <v>728</v>
      </c>
      <c r="D2" s="574"/>
      <c r="E2" s="574"/>
      <c r="F2" s="159"/>
      <c r="G2" s="159"/>
    </row>
    <row r="3" spans="1:10" ht="15.75">
      <c r="A3" s="576" t="s">
        <v>254</v>
      </c>
      <c r="B3" s="576"/>
      <c r="C3" s="576"/>
      <c r="D3" s="576"/>
      <c r="E3" s="576"/>
      <c r="F3" s="576"/>
      <c r="G3" s="576"/>
      <c r="H3" s="576"/>
      <c r="I3" s="576"/>
      <c r="J3" s="576"/>
    </row>
    <row r="4" spans="1:10" ht="15.7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ht="13.5" thickBot="1"/>
    <row r="6" spans="1:10" ht="24.75" customHeight="1">
      <c r="A6" s="581" t="s">
        <v>255</v>
      </c>
      <c r="B6" s="579" t="s">
        <v>256</v>
      </c>
      <c r="C6" s="577" t="s">
        <v>257</v>
      </c>
      <c r="D6" s="585" t="s">
        <v>277</v>
      </c>
      <c r="E6" s="583" t="s">
        <v>719</v>
      </c>
      <c r="F6" s="100"/>
      <c r="G6" s="100"/>
      <c r="H6" s="575"/>
      <c r="I6" s="575"/>
      <c r="J6" s="575"/>
    </row>
    <row r="7" spans="1:10" ht="18.75" customHeight="1" thickBot="1">
      <c r="A7" s="582"/>
      <c r="B7" s="580"/>
      <c r="C7" s="578"/>
      <c r="D7" s="586"/>
      <c r="E7" s="584"/>
      <c r="F7" s="100"/>
      <c r="G7" s="100"/>
      <c r="H7" s="575"/>
      <c r="I7" s="575"/>
      <c r="J7" s="575"/>
    </row>
    <row r="8" spans="1:7" ht="13.5" customHeight="1" thickBot="1">
      <c r="A8" s="414">
        <v>1</v>
      </c>
      <c r="B8" s="413">
        <v>2</v>
      </c>
      <c r="C8" s="411">
        <v>3</v>
      </c>
      <c r="D8" s="412">
        <v>5</v>
      </c>
      <c r="E8" s="412">
        <v>5</v>
      </c>
      <c r="F8" s="160"/>
      <c r="G8" s="160"/>
    </row>
    <row r="9" spans="1:7" ht="18" customHeight="1" thickBot="1">
      <c r="A9" s="13" t="s">
        <v>259</v>
      </c>
      <c r="B9" s="60" t="s">
        <v>260</v>
      </c>
      <c r="C9" s="60"/>
      <c r="D9" s="162">
        <f>'Z1'!S171</f>
        <v>32610605</v>
      </c>
      <c r="E9" s="162">
        <f>'Z1'!T171</f>
        <v>10960082</v>
      </c>
      <c r="F9" s="37"/>
      <c r="G9" s="37"/>
    </row>
    <row r="10" spans="1:7" ht="18" customHeight="1" thickBot="1">
      <c r="A10" s="61" t="s">
        <v>261</v>
      </c>
      <c r="B10" s="62" t="s">
        <v>262</v>
      </c>
      <c r="C10" s="62"/>
      <c r="D10" s="68">
        <f>'Z 2'!K467</f>
        <v>32608275</v>
      </c>
      <c r="E10" s="68">
        <f>'Z 2'!L467</f>
        <v>7212349</v>
      </c>
      <c r="F10" s="37"/>
      <c r="G10" s="37"/>
    </row>
    <row r="11" spans="1:7" ht="12.75">
      <c r="A11" s="63"/>
      <c r="B11" s="46" t="s">
        <v>263</v>
      </c>
      <c r="C11" s="36"/>
      <c r="D11" s="206">
        <f>D9-D10</f>
        <v>2330</v>
      </c>
      <c r="E11" s="206">
        <f>E9-E10</f>
        <v>3747733</v>
      </c>
      <c r="F11" s="37"/>
      <c r="G11" s="37"/>
    </row>
    <row r="12" spans="1:7" ht="15.75" customHeight="1" thickBot="1">
      <c r="A12" s="64"/>
      <c r="B12" s="65" t="s">
        <v>264</v>
      </c>
      <c r="C12" s="65"/>
      <c r="D12" s="207">
        <f>D13-D22</f>
        <v>-2330</v>
      </c>
      <c r="E12" s="207">
        <f>E13-E22</f>
        <v>-1914101</v>
      </c>
      <c r="F12" s="37"/>
      <c r="G12" s="37"/>
    </row>
    <row r="13" spans="1:7" ht="15.75" customHeight="1" thickBot="1">
      <c r="A13" s="61" t="s">
        <v>265</v>
      </c>
      <c r="B13" s="67" t="s">
        <v>266</v>
      </c>
      <c r="C13" s="68"/>
      <c r="D13" s="69">
        <f>D14+D15+D16+D17+D18+D19+D20+D21</f>
        <v>3327361</v>
      </c>
      <c r="E13" s="69">
        <f>E14+E15+E16+E17+E18+E19+E20+E21</f>
        <v>40664</v>
      </c>
      <c r="F13" s="95"/>
      <c r="G13" s="95"/>
    </row>
    <row r="14" spans="1:7" ht="25.5">
      <c r="A14" s="70" t="s">
        <v>267</v>
      </c>
      <c r="B14" s="46" t="s">
        <v>558</v>
      </c>
      <c r="C14" s="63" t="s">
        <v>378</v>
      </c>
      <c r="D14" s="206">
        <v>3327361</v>
      </c>
      <c r="E14" s="206">
        <v>0</v>
      </c>
      <c r="F14" s="37"/>
      <c r="G14" s="37"/>
    </row>
    <row r="15" spans="1:7" ht="16.5" customHeight="1">
      <c r="A15" s="71" t="s">
        <v>268</v>
      </c>
      <c r="B15" s="7" t="s">
        <v>269</v>
      </c>
      <c r="C15" s="2" t="s">
        <v>378</v>
      </c>
      <c r="D15" s="208">
        <v>0</v>
      </c>
      <c r="E15" s="208">
        <v>0</v>
      </c>
      <c r="F15" s="37"/>
      <c r="G15" s="37"/>
    </row>
    <row r="16" spans="1:7" ht="37.5" customHeight="1">
      <c r="A16" s="71" t="s">
        <v>270</v>
      </c>
      <c r="B16" s="10" t="s">
        <v>446</v>
      </c>
      <c r="C16" s="2" t="s">
        <v>428</v>
      </c>
      <c r="D16" s="208">
        <v>0</v>
      </c>
      <c r="E16" s="208">
        <v>0</v>
      </c>
      <c r="F16" s="37"/>
      <c r="G16" s="37"/>
    </row>
    <row r="17" spans="1:7" ht="16.5" customHeight="1">
      <c r="A17" s="71" t="s">
        <v>272</v>
      </c>
      <c r="B17" s="7" t="s">
        <v>271</v>
      </c>
      <c r="C17" s="2" t="s">
        <v>379</v>
      </c>
      <c r="D17" s="208">
        <v>0</v>
      </c>
      <c r="E17" s="208">
        <v>0</v>
      </c>
      <c r="F17" s="37"/>
      <c r="G17" s="37"/>
    </row>
    <row r="18" spans="1:7" ht="18" customHeight="1">
      <c r="A18" s="71" t="s">
        <v>274</v>
      </c>
      <c r="B18" s="7" t="s">
        <v>273</v>
      </c>
      <c r="C18" s="2" t="s">
        <v>380</v>
      </c>
      <c r="D18" s="208">
        <v>0</v>
      </c>
      <c r="E18" s="208">
        <v>0</v>
      </c>
      <c r="F18" s="37"/>
      <c r="G18" s="37"/>
    </row>
    <row r="19" spans="1:7" ht="18.75" customHeight="1">
      <c r="A19" s="71" t="s">
        <v>302</v>
      </c>
      <c r="B19" s="10" t="s">
        <v>290</v>
      </c>
      <c r="C19" s="2" t="s">
        <v>381</v>
      </c>
      <c r="D19" s="208">
        <v>0</v>
      </c>
      <c r="E19" s="208">
        <v>0</v>
      </c>
      <c r="F19" s="37"/>
      <c r="G19" s="37"/>
    </row>
    <row r="20" spans="1:7" ht="18.75" customHeight="1">
      <c r="A20" s="71" t="s">
        <v>303</v>
      </c>
      <c r="B20" s="10" t="s">
        <v>291</v>
      </c>
      <c r="C20" s="2" t="s">
        <v>382</v>
      </c>
      <c r="D20" s="208">
        <v>0</v>
      </c>
      <c r="E20" s="208">
        <v>0</v>
      </c>
      <c r="F20" s="37"/>
      <c r="G20" s="37"/>
    </row>
    <row r="21" spans="1:7" ht="26.25" thickBot="1">
      <c r="A21" s="72" t="s">
        <v>292</v>
      </c>
      <c r="B21" s="73" t="s">
        <v>293</v>
      </c>
      <c r="C21" s="42" t="s">
        <v>379</v>
      </c>
      <c r="D21" s="207">
        <v>0</v>
      </c>
      <c r="E21" s="207">
        <v>40664</v>
      </c>
      <c r="F21" s="37"/>
      <c r="G21" s="37"/>
    </row>
    <row r="22" spans="1:7" ht="15.75" customHeight="1" thickBot="1">
      <c r="A22" s="61" t="s">
        <v>294</v>
      </c>
      <c r="B22" s="74" t="s">
        <v>295</v>
      </c>
      <c r="C22" s="59"/>
      <c r="D22" s="69">
        <f>D23+D24+D25+D26+D27+D28+D29</f>
        <v>3329691</v>
      </c>
      <c r="E22" s="69">
        <f>E23+E24+E25+E26+E27+E28+E29</f>
        <v>1954765</v>
      </c>
      <c r="F22" s="95"/>
      <c r="G22" s="95"/>
    </row>
    <row r="23" spans="1:7" ht="15.75" customHeight="1">
      <c r="A23" s="75" t="s">
        <v>267</v>
      </c>
      <c r="B23" s="76" t="s">
        <v>296</v>
      </c>
      <c r="C23" s="77" t="s">
        <v>383</v>
      </c>
      <c r="D23" s="209">
        <v>1406568</v>
      </c>
      <c r="E23" s="209">
        <v>61642</v>
      </c>
      <c r="F23" s="37"/>
      <c r="G23" s="37"/>
    </row>
    <row r="24" spans="1:7" ht="15.75" customHeight="1">
      <c r="A24" s="71" t="s">
        <v>268</v>
      </c>
      <c r="B24" s="7" t="s">
        <v>297</v>
      </c>
      <c r="C24" s="2" t="s">
        <v>384</v>
      </c>
      <c r="D24" s="208">
        <v>0</v>
      </c>
      <c r="E24" s="208">
        <v>0</v>
      </c>
      <c r="F24" s="37"/>
      <c r="G24" s="37"/>
    </row>
    <row r="25" spans="1:7" ht="15.75" customHeight="1">
      <c r="A25" s="71" t="s">
        <v>270</v>
      </c>
      <c r="B25" s="7" t="s">
        <v>84</v>
      </c>
      <c r="C25" s="2" t="s">
        <v>383</v>
      </c>
      <c r="D25" s="208">
        <v>36000</v>
      </c>
      <c r="E25" s="208">
        <v>6000</v>
      </c>
      <c r="F25" s="37"/>
      <c r="G25" s="37"/>
    </row>
    <row r="26" spans="1:7" ht="39" customHeight="1">
      <c r="A26" s="71" t="s">
        <v>272</v>
      </c>
      <c r="B26" s="10" t="s">
        <v>411</v>
      </c>
      <c r="C26" s="2" t="s">
        <v>447</v>
      </c>
      <c r="D26" s="208">
        <v>1887123</v>
      </c>
      <c r="E26" s="208">
        <v>1887123</v>
      </c>
      <c r="F26" s="37"/>
      <c r="G26" s="37"/>
    </row>
    <row r="27" spans="1:13" ht="15.75" customHeight="1">
      <c r="A27" s="71" t="s">
        <v>274</v>
      </c>
      <c r="B27" s="7" t="s">
        <v>298</v>
      </c>
      <c r="C27" s="2" t="s">
        <v>385</v>
      </c>
      <c r="D27" s="208">
        <v>0</v>
      </c>
      <c r="E27" s="208">
        <v>0</v>
      </c>
      <c r="F27" s="37"/>
      <c r="G27" s="37"/>
      <c r="M27" s="37"/>
    </row>
    <row r="28" spans="1:7" ht="15.75" customHeight="1">
      <c r="A28" s="71" t="s">
        <v>302</v>
      </c>
      <c r="B28" s="7" t="s">
        <v>299</v>
      </c>
      <c r="C28" s="2" t="s">
        <v>386</v>
      </c>
      <c r="D28" s="208">
        <v>0</v>
      </c>
      <c r="E28" s="208">
        <v>0</v>
      </c>
      <c r="F28" s="37"/>
      <c r="G28" s="37"/>
    </row>
    <row r="29" spans="1:7" ht="15.75" customHeight="1" thickBot="1">
      <c r="A29" s="40" t="s">
        <v>303</v>
      </c>
      <c r="B29" s="78" t="s">
        <v>300</v>
      </c>
      <c r="C29" s="79" t="s">
        <v>53</v>
      </c>
      <c r="D29" s="210">
        <v>0</v>
      </c>
      <c r="E29" s="210">
        <v>0</v>
      </c>
      <c r="F29" s="37"/>
      <c r="G29" s="37"/>
    </row>
    <row r="30" spans="1:7" ht="24.75" customHeight="1">
      <c r="A30" s="169" t="s">
        <v>301</v>
      </c>
      <c r="B30" s="359" t="s">
        <v>56</v>
      </c>
      <c r="C30" s="170"/>
      <c r="D30" s="211">
        <f>D22</f>
        <v>3329691</v>
      </c>
      <c r="E30" s="211">
        <f>E22</f>
        <v>1954765</v>
      </c>
      <c r="F30" s="37"/>
      <c r="G30" s="37"/>
    </row>
    <row r="31" spans="1:7" ht="24" customHeight="1">
      <c r="A31" s="72" t="s">
        <v>608</v>
      </c>
      <c r="B31" s="360" t="s">
        <v>612</v>
      </c>
      <c r="C31" s="42"/>
      <c r="D31" s="207">
        <f>D9-D30</f>
        <v>29280914</v>
      </c>
      <c r="E31" s="207">
        <f>E9-E30</f>
        <v>9005317</v>
      </c>
      <c r="F31" s="37"/>
      <c r="G31" s="37"/>
    </row>
    <row r="32" spans="1:7" ht="24.75" customHeight="1">
      <c r="A32" s="72" t="s">
        <v>613</v>
      </c>
      <c r="B32" s="360" t="s">
        <v>614</v>
      </c>
      <c r="C32" s="42"/>
      <c r="D32" s="207">
        <f>D10-D31</f>
        <v>3327361</v>
      </c>
      <c r="E32" s="207">
        <f>E10-E31</f>
        <v>-1792968</v>
      </c>
      <c r="F32" s="37"/>
      <c r="G32" s="37"/>
    </row>
    <row r="33" spans="1:7" ht="40.5" customHeight="1" thickBot="1">
      <c r="A33" s="40" t="s">
        <v>541</v>
      </c>
      <c r="B33" s="361" t="s">
        <v>615</v>
      </c>
      <c r="C33" s="79"/>
      <c r="D33" s="210">
        <f>D13</f>
        <v>3327361</v>
      </c>
      <c r="E33" s="210">
        <f>E13</f>
        <v>40664</v>
      </c>
      <c r="F33" s="37"/>
      <c r="G33" s="37"/>
    </row>
    <row r="37" ht="30.75" customHeight="1"/>
  </sheetData>
  <mergeCells count="8">
    <mergeCell ref="C2:E2"/>
    <mergeCell ref="H6:J7"/>
    <mergeCell ref="A3:J3"/>
    <mergeCell ref="C6:C7"/>
    <mergeCell ref="B6:B7"/>
    <mergeCell ref="A6:A7"/>
    <mergeCell ref="E6:E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2" sqref="E2"/>
    </sheetView>
  </sheetViews>
  <sheetFormatPr defaultColWidth="9.00390625" defaultRowHeight="12.75"/>
  <cols>
    <col min="1" max="1" width="6.625" style="0" customWidth="1"/>
    <col min="2" max="2" width="50.875" style="0" customWidth="1"/>
    <col min="3" max="3" width="16.375" style="0" customWidth="1"/>
    <col min="4" max="4" width="17.875" style="0" customWidth="1"/>
    <col min="5" max="5" width="9.625" style="0" bestFit="1" customWidth="1"/>
  </cols>
  <sheetData>
    <row r="1" spans="3:4" ht="45" customHeight="1">
      <c r="C1" s="587" t="s">
        <v>729</v>
      </c>
      <c r="D1" s="587"/>
    </row>
    <row r="2" spans="1:4" ht="77.25" customHeight="1" thickBot="1">
      <c r="A2" s="588" t="s">
        <v>720</v>
      </c>
      <c r="B2" s="588"/>
      <c r="C2" s="588"/>
      <c r="D2" s="588"/>
    </row>
    <row r="3" spans="1:4" ht="24.75" customHeight="1" thickBot="1">
      <c r="A3" s="402" t="s">
        <v>255</v>
      </c>
      <c r="B3" s="403" t="s">
        <v>510</v>
      </c>
      <c r="C3" s="403" t="s">
        <v>511</v>
      </c>
      <c r="D3" s="429" t="s">
        <v>512</v>
      </c>
    </row>
    <row r="4" spans="1:4" ht="12.75">
      <c r="A4" s="426">
        <v>1</v>
      </c>
      <c r="B4" s="427">
        <v>2</v>
      </c>
      <c r="C4" s="427">
        <v>4</v>
      </c>
      <c r="D4" s="428">
        <v>5</v>
      </c>
    </row>
    <row r="5" spans="1:5" ht="18.75" customHeight="1">
      <c r="A5" s="415" t="s">
        <v>267</v>
      </c>
      <c r="B5" s="3" t="s">
        <v>573</v>
      </c>
      <c r="C5" s="135"/>
      <c r="D5" s="416">
        <f>D6+D7</f>
        <v>34139</v>
      </c>
      <c r="E5" s="124"/>
    </row>
    <row r="6" spans="1:5" ht="17.25" customHeight="1">
      <c r="A6" s="417"/>
      <c r="B6" s="137" t="s">
        <v>574</v>
      </c>
      <c r="C6" s="138">
        <v>80120</v>
      </c>
      <c r="D6" s="418">
        <f>'Z 2'!L221</f>
        <v>17185</v>
      </c>
      <c r="E6" s="124"/>
    </row>
    <row r="7" spans="1:4" ht="17.25" customHeight="1">
      <c r="A7" s="417"/>
      <c r="B7" s="137" t="s">
        <v>575</v>
      </c>
      <c r="C7" s="138">
        <v>80130</v>
      </c>
      <c r="D7" s="418">
        <f>'Z 2'!L252</f>
        <v>16954</v>
      </c>
    </row>
    <row r="8" spans="1:4" ht="12.75" hidden="1">
      <c r="A8" s="417"/>
      <c r="B8" s="139" t="s">
        <v>516</v>
      </c>
      <c r="C8" s="141">
        <v>0</v>
      </c>
      <c r="D8" s="419">
        <v>0</v>
      </c>
    </row>
    <row r="9" spans="1:4" ht="24.75" customHeight="1">
      <c r="A9" s="420" t="s">
        <v>268</v>
      </c>
      <c r="B9" s="44" t="s">
        <v>576</v>
      </c>
      <c r="C9" s="142"/>
      <c r="D9" s="421">
        <f>D10+D11</f>
        <v>65446</v>
      </c>
    </row>
    <row r="10" spans="1:4" ht="18.75" customHeight="1">
      <c r="A10" s="417"/>
      <c r="B10" s="137" t="s">
        <v>577</v>
      </c>
      <c r="C10" s="138">
        <v>80120</v>
      </c>
      <c r="D10" s="418">
        <f>'Z 2'!L222</f>
        <v>55291</v>
      </c>
    </row>
    <row r="11" spans="1:4" ht="18.75" customHeight="1">
      <c r="A11" s="417"/>
      <c r="B11" s="137" t="s">
        <v>578</v>
      </c>
      <c r="C11" s="138">
        <v>80130</v>
      </c>
      <c r="D11" s="418">
        <f>'Z 2'!L253</f>
        <v>10155</v>
      </c>
    </row>
    <row r="12" spans="1:4" ht="12.75" hidden="1">
      <c r="A12" s="422" t="s">
        <v>272</v>
      </c>
      <c r="B12" s="134" t="s">
        <v>513</v>
      </c>
      <c r="C12" s="143"/>
      <c r="D12" s="423">
        <f>D13</f>
        <v>0</v>
      </c>
    </row>
    <row r="13" spans="1:4" ht="24" customHeight="1" hidden="1">
      <c r="A13" s="424"/>
      <c r="B13" s="139" t="s">
        <v>514</v>
      </c>
      <c r="C13" s="141">
        <v>0</v>
      </c>
      <c r="D13" s="419">
        <v>0</v>
      </c>
    </row>
    <row r="14" spans="1:5" ht="25.5" customHeight="1">
      <c r="A14" s="415" t="s">
        <v>270</v>
      </c>
      <c r="B14" s="171" t="s">
        <v>579</v>
      </c>
      <c r="C14" s="135"/>
      <c r="D14" s="416">
        <f>D15+D16+D17+D18</f>
        <v>170662</v>
      </c>
      <c r="E14" s="124"/>
    </row>
    <row r="15" spans="1:4" ht="12.75">
      <c r="A15" s="417"/>
      <c r="B15" s="144" t="s">
        <v>445</v>
      </c>
      <c r="C15" s="138">
        <v>80102</v>
      </c>
      <c r="D15" s="418">
        <f>'Z 2'!L190</f>
        <v>46651</v>
      </c>
    </row>
    <row r="16" spans="1:4" ht="12.75">
      <c r="A16" s="417"/>
      <c r="B16" s="144" t="s">
        <v>444</v>
      </c>
      <c r="C16" s="138">
        <v>80105</v>
      </c>
      <c r="D16" s="418">
        <f>'Z 2'!L191</f>
        <v>27996</v>
      </c>
    </row>
    <row r="17" spans="1:4" ht="12.75">
      <c r="A17" s="417"/>
      <c r="B17" s="144" t="s">
        <v>580</v>
      </c>
      <c r="C17" s="138">
        <v>80111</v>
      </c>
      <c r="D17" s="418">
        <f>'Z 2'!L203</f>
        <v>59769</v>
      </c>
    </row>
    <row r="18" spans="1:4" ht="13.5" thickBot="1">
      <c r="A18" s="424"/>
      <c r="B18" s="145" t="s">
        <v>581</v>
      </c>
      <c r="C18" s="141">
        <v>80134</v>
      </c>
      <c r="D18" s="418">
        <f>'Z 2'!L263</f>
        <v>36246</v>
      </c>
    </row>
    <row r="19" spans="1:4" ht="13.5" hidden="1" thickBot="1">
      <c r="A19" s="417"/>
      <c r="B19" s="231"/>
      <c r="C19" s="136"/>
      <c r="D19" s="425"/>
    </row>
    <row r="20" spans="1:4" ht="13.5" customHeight="1" thickBot="1">
      <c r="A20" s="232"/>
      <c r="B20" s="233" t="s">
        <v>515</v>
      </c>
      <c r="C20" s="234"/>
      <c r="D20" s="235">
        <f>D5+D9+D14</f>
        <v>270247</v>
      </c>
    </row>
    <row r="21" spans="1:4" ht="12.75">
      <c r="A21" s="132"/>
      <c r="B21" s="132"/>
      <c r="C21" s="132"/>
      <c r="D21" s="133"/>
    </row>
    <row r="22" spans="1:4" ht="12.75">
      <c r="A22" s="132"/>
      <c r="B22" s="132"/>
      <c r="C22" s="132"/>
      <c r="D22" s="133"/>
    </row>
    <row r="23" spans="1:4" ht="16.5" customHeight="1">
      <c r="A23" s="132"/>
      <c r="B23" s="132"/>
      <c r="C23" s="85"/>
      <c r="D23" s="133"/>
    </row>
    <row r="24" ht="48" customHeight="1">
      <c r="D24" s="124"/>
    </row>
    <row r="25" ht="12.75">
      <c r="D25" s="124"/>
    </row>
    <row r="26" ht="12.75">
      <c r="D26" s="124"/>
    </row>
    <row r="27" ht="12.75">
      <c r="D27" s="124"/>
    </row>
    <row r="28" ht="12.75">
      <c r="D28" s="124"/>
    </row>
    <row r="29" ht="12.75">
      <c r="D29" s="124"/>
    </row>
    <row r="30" ht="12.75">
      <c r="D30" s="124"/>
    </row>
    <row r="31" ht="12.75">
      <c r="D31" s="124"/>
    </row>
    <row r="32" ht="12.75">
      <c r="D32" s="124"/>
    </row>
    <row r="33" ht="12.75">
      <c r="D33" s="124"/>
    </row>
  </sheetData>
  <mergeCells count="2">
    <mergeCell ref="A2:D2"/>
    <mergeCell ref="C1:D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2006-04-28T12:11:32Z</cp:lastPrinted>
  <dcterms:created xsi:type="dcterms:W3CDTF">2002-03-22T09:59:04Z</dcterms:created>
  <dcterms:modified xsi:type="dcterms:W3CDTF">2006-04-28T13:04:01Z</dcterms:modified>
  <cp:category/>
  <cp:version/>
  <cp:contentType/>
  <cp:contentStatus/>
</cp:coreProperties>
</file>