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5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2" sheetId="14" r:id="rId14"/>
    <sheet name="z13" sheetId="15" r:id="rId15"/>
    <sheet name="Z14" sheetId="16" r:id="rId16"/>
    <sheet name="Z14a" sheetId="17" r:id="rId17"/>
  </sheets>
  <definedNames>
    <definedName name="_xlnm.Print_Area" localSheetId="0">'Z 1'!$A$2:$J$204</definedName>
    <definedName name="_xlnm.Print_Area" localSheetId="1">'Z 2 '!$A$1:$T$643</definedName>
    <definedName name="_xlnm.Print_Area" localSheetId="7">'Z 6 '!$A$1:$L$133</definedName>
    <definedName name="_xlnm.Print_Area" localSheetId="9">'Z 8 '!$A$1:$K$132</definedName>
    <definedName name="_xlnm.Print_Area" localSheetId="14">'z13'!$A$1:$C$42</definedName>
    <definedName name="_xlnm.Print_Area" localSheetId="15">'Z14'!$A$1:$M$29</definedName>
    <definedName name="_xlnm.Print_Area" localSheetId="2">'Z3'!$A$1:$P$30</definedName>
    <definedName name="_xlnm.Print_Area" localSheetId="3">'z3a'!$A$1:$N$24</definedName>
    <definedName name="_xlnm.Print_Area" localSheetId="6">'Z5'!$A$1:$F$40</definedName>
    <definedName name="_xlnm.Print_Titles" localSheetId="0">'Z 1'!$12:$16</definedName>
    <definedName name="_xlnm.Print_Titles" localSheetId="1">'Z 2 '!$4:$8</definedName>
  </definedNames>
  <calcPr fullCalcOnLoad="1"/>
</workbook>
</file>

<file path=xl/sharedStrings.xml><?xml version="1.0" encoding="utf-8"?>
<sst xmlns="http://schemas.openxmlformats.org/spreadsheetml/2006/main" count="2591" uniqueCount="931">
  <si>
    <t>Na pokrycie wydatków nie znajdujących pokrycia w  planowanych dochodach planuje się przychody (III)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</si>
  <si>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</si>
  <si>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</si>
  <si>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</si>
  <si>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</si>
  <si>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</si>
  <si>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</si>
  <si>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</si>
  <si>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</si>
  <si>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</si>
  <si>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</si>
  <si>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</si>
  <si>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</si>
  <si>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</si>
  <si>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</si>
  <si>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</si>
  <si>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</si>
  <si>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</si>
  <si>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</si>
  <si>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</si>
  <si>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</si>
  <si>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</si>
  <si>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</si>
  <si>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</si>
  <si>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</si>
  <si>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</si>
  <si>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</si>
  <si>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</si>
  <si>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</si>
  <si>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</si>
  <si>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</si>
  <si>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</si>
  <si>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</si>
  <si>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</si>
  <si>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</si>
  <si>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</si>
  <si>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</si>
  <si>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</si>
  <si>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</si>
  <si>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</si>
  <si>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</si>
  <si>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</si>
  <si>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</si>
  <si>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</si>
  <si>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</si>
  <si>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</si>
  <si>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</si>
  <si>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</si>
  <si>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</si>
  <si>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</si>
  <si>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</si>
  <si>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</si>
  <si>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</si>
  <si>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</si>
  <si>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</si>
  <si>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</si>
  <si>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</si>
  <si>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</si>
  <si>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</si>
  <si>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</si>
  <si>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</si>
  <si>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</si>
  <si>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</si>
  <si>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</si>
  <si>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</si>
  <si>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</si>
  <si>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</si>
  <si>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</si>
  <si>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</si>
  <si>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</si>
  <si>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</si>
  <si>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</si>
  <si>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</si>
  <si>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</si>
  <si>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</si>
  <si>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</si>
  <si>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</si>
  <si>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</si>
  <si>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dokształcania i doskon.naucz.</t>
  </si>
  <si>
    <t>Załącznik Nr 9 do Uchwały Rady Powiatu w Olecku Nr ......./....../... z dnia .............</t>
  </si>
  <si>
    <t>Załącznik nr 3a do Uchwały Rady Powiatu w Olecku Nr ...../....../.... z dnia ...........</t>
  </si>
  <si>
    <t>Załącznik nr 8 do uchwały Rady Powiatu w Olecku nr. ......../........./ ........       z dnia ...............</t>
  </si>
  <si>
    <t>Załącznik nr 4 do Uchwały Rady Powiatu w Olecku nr......../........./...........z dnia ..................</t>
  </si>
  <si>
    <t>Placówki opiekuńczo-wychowawcze</t>
  </si>
  <si>
    <t>Zespół Szkół Licealnych i Zawod. w Olecku</t>
  </si>
  <si>
    <t>Ośrodek Szkolno-Wychowawczy  w Olecku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</si>
  <si>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</si>
  <si>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</si>
  <si>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</si>
  <si>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</si>
  <si>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</si>
  <si>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</si>
  <si>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</si>
  <si>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</si>
  <si>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</si>
  <si>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</si>
  <si>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</si>
  <si>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</si>
  <si>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</si>
  <si>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</si>
  <si>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</si>
  <si>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</si>
  <si>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</si>
  <si>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</si>
  <si>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</si>
  <si>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</si>
  <si>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</si>
  <si>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</si>
  <si>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</si>
  <si>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</si>
  <si>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</si>
  <si>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</si>
  <si>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</si>
  <si>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</si>
  <si>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</si>
  <si>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</si>
  <si>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</si>
  <si>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</si>
  <si>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</si>
  <si>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</si>
  <si>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</si>
  <si>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</si>
  <si>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</si>
  <si>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</si>
  <si>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</si>
  <si>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</si>
  <si>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</si>
  <si>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</si>
  <si>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</si>
  <si>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</si>
  <si>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</si>
  <si>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</si>
  <si>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</si>
  <si>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</si>
  <si>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</si>
  <si>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</si>
  <si>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</si>
  <si>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Dot.podmiot z budż. dla szkół niepub. (Niep.Spec.Ośr.Szk.-Wych. Przy Stow. "Dać Nadzieję")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</si>
  <si>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</si>
  <si>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</si>
  <si>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</si>
  <si>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</si>
  <si>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</si>
  <si>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</si>
  <si>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</si>
  <si>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</si>
  <si>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Załącznik Nr 5 do Uchwały Rady Powiatu w Olecku Nr...../....../...     z dnia  ..............</t>
  </si>
  <si>
    <t xml:space="preserve">dot. podmiot. z budż. dla szkół niepublicznych:  </t>
  </si>
  <si>
    <t>ZDZ Białystok</t>
  </si>
  <si>
    <t>L.Olszewski Olecko</t>
  </si>
  <si>
    <t>Cent.eduk.Rozw.Zaw.Olecko</t>
  </si>
  <si>
    <t>Wydatki na obsługę długu</t>
  </si>
  <si>
    <t>Pochodne od wynagrodzeń</t>
  </si>
  <si>
    <t>Wynagrodzenia</t>
  </si>
  <si>
    <t>Załącznik nr 3 do Uchwały Rady Powiatu w Olecku Nr ...../....../.... z dnia ...........</t>
  </si>
  <si>
    <t xml:space="preserve">                                 Zadania inwestycyjne w 2007 r.                                                                                              </t>
  </si>
  <si>
    <t xml:space="preserve">Łączne koszty finansowe </t>
  </si>
  <si>
    <t>rok budżetowy 2007 (8+9+10+11)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</si>
  <si>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</si>
  <si>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</si>
  <si>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</si>
  <si>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</si>
  <si>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</si>
  <si>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</si>
  <si>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 xml:space="preserve">                                 Limity wydatków na wieloletnie programy inwestycyjne w latach 2005 - 2009                                                                                         </t>
  </si>
  <si>
    <t>"Przebudowa drogi powiatowej nr 1901N Giże - Dudki - Gąski na odcinku w miejscowości Dudki"</t>
  </si>
  <si>
    <t>Przebudowa ulic Kasprowicza i Grunwaldzkiej</t>
  </si>
  <si>
    <t>"Przebudowa drogi powiatowej nr 1940 N Kukowo - Zatyki - Kijewo"</t>
  </si>
  <si>
    <t>Przebudowa dróg powiatowych miasta Olecko</t>
  </si>
  <si>
    <t>Przebudowa i modernizacja Szpitala Powiatowego w Olecku (lata: 1986 - 2008)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</si>
  <si>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</si>
  <si>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</si>
  <si>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</si>
  <si>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</si>
  <si>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</si>
  <si>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Przebudowa drogi Kukowo - Zajdy - Dudki</t>
  </si>
  <si>
    <t>Przewidywane wykonanie w 2006 roku</t>
  </si>
  <si>
    <t>Plan na 2007 rok</t>
  </si>
  <si>
    <t>Dotacja dla Komendy Wojewódzkiej Państwowej Straży Pożarnej w Olsztynie na realizację zadania inwestycyjnego PLATFORMA 112</t>
  </si>
  <si>
    <t>Przebudowa drogi powiatowej nr 1913 N Wojnasy - Cimochy - Dorsze - Kalinowo na odcinku Cimochy - Cimoszki o dł. 0,38 km.</t>
  </si>
  <si>
    <t>6058   6059</t>
  </si>
  <si>
    <t>6058    6059</t>
  </si>
  <si>
    <t xml:space="preserve">                                   Pozostałe wydatki majątkowe na 2007 rok</t>
  </si>
  <si>
    <t>75410</t>
  </si>
  <si>
    <t>Komendy Wojewódzkie Państwowej Straży Pożarnej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</si>
  <si>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</si>
  <si>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</si>
  <si>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</si>
  <si>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</si>
  <si>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</si>
  <si>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</si>
  <si>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</si>
  <si>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</si>
  <si>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</si>
  <si>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</si>
  <si>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803, 80309</t>
  </si>
  <si>
    <t>851, 85111</t>
  </si>
  <si>
    <t>Program: ZPORR 2006-2007 "Wspieranie rozwoju edukacyjnego studentów w powiecie oleckim"</t>
  </si>
  <si>
    <t>Priorytet 2 - Wzmocnienie rozwoju zasobów ludzkich w regionach</t>
  </si>
  <si>
    <t>Działanie 2.2 Wyrównywanie szans edukacyjnych poprzez programy stypendialne</t>
  </si>
  <si>
    <t xml:space="preserve">Program: ZPORR 2006-2007 "Wspieranie rozwoju edukacyjnego młodzieży wiejskiej z terenu powiatu oleckiego" </t>
  </si>
  <si>
    <t>854, 85415</t>
  </si>
  <si>
    <t>2007 rok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</si>
  <si>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</si>
  <si>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</si>
  <si>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</si>
  <si>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</si>
  <si>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</si>
  <si>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</si>
  <si>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</si>
  <si>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</si>
  <si>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</si>
  <si>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</si>
  <si>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</si>
  <si>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</si>
  <si>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</si>
  <si>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</si>
  <si>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</si>
  <si>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</si>
  <si>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</si>
  <si>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</si>
  <si>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</si>
  <si>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</si>
  <si>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</si>
  <si>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</si>
  <si>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</si>
  <si>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</si>
  <si>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</si>
  <si>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Obrona cywilna</t>
  </si>
  <si>
    <t>Pozostałe opłaty na rzecz jst</t>
  </si>
  <si>
    <t>Uposaż.żołn. zawod. i nadtermin.oraz funkcjonar.</t>
  </si>
  <si>
    <t>Dochody i wydatki związane z realizacją zadań z zakresu administracji rządowej i innych zadań zleconych odrębnymi ustawami w 2007r.</t>
  </si>
  <si>
    <t xml:space="preserve">Załącznik nr 6 do Uchwały Rady Powiatu w Olecku Nr......./...../... z dn. ........... </t>
  </si>
  <si>
    <t>Dotacje ogółem</t>
  </si>
  <si>
    <t>Rehabilitacja zawodowa i społeczna</t>
  </si>
  <si>
    <t>Gmina Olecko</t>
  </si>
  <si>
    <t xml:space="preserve">                                                </t>
  </si>
  <si>
    <t xml:space="preserve">Przewodniczący Rady Powiatu: </t>
  </si>
  <si>
    <t>Przewodniczący Rady Powiatu:</t>
  </si>
  <si>
    <t xml:space="preserve">                                                                                           Przewodniczący Rady Powiatu:</t>
  </si>
  <si>
    <t>Plan przychodów i wydatków dochodów własnych jednostek budżetowych na  2007 rok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</si>
  <si>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</si>
  <si>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</si>
  <si>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</si>
  <si>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</si>
  <si>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</si>
  <si>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</si>
  <si>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</si>
  <si>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Dotacje celowe na zadania własne gminy realizowane przez podmioty należące i nienależące do sektora finansów publicznych w 2007r.</t>
  </si>
  <si>
    <t>Dotacje podmiotowe w 2007 r.</t>
  </si>
  <si>
    <t>Szkoły prowadzone przez Jolantę i Cezarego Dzioba w Kowalach Oleckich</t>
  </si>
  <si>
    <t>Społeczne Towarzystwo Oświatowe w Olecku</t>
  </si>
  <si>
    <t>Ogółem Oswiata i Wychowanie</t>
  </si>
  <si>
    <t>SP ZOZ w Olecku w "likwidacji"</t>
  </si>
  <si>
    <t>Ogółem Ochrona Zdrowia</t>
  </si>
  <si>
    <t>Ochrona Zdrowia</t>
  </si>
  <si>
    <t xml:space="preserve">Ogółem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</si>
  <si>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</si>
  <si>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</si>
  <si>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</si>
  <si>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</si>
  <si>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</si>
  <si>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</si>
  <si>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</si>
  <si>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</si>
  <si>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</si>
  <si>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6220</t>
  </si>
  <si>
    <t>dot. cel. z budż. na finans. lub dofin. koszt. realiz. inwest. i zak. inwest. innych jed. sekt. fin.publ.</t>
  </si>
  <si>
    <t>Dochody i wydatki związane z realizacją zadań  realizowanych na podstwaie umów (porozumień) z jednostkami samorządu terytorialnego w 2007 roku</t>
  </si>
  <si>
    <t>Pochodne od wynagrodzerń</t>
  </si>
  <si>
    <t>dotacje</t>
  </si>
  <si>
    <t>Z tego:</t>
  </si>
  <si>
    <t>wynagrodznia</t>
  </si>
  <si>
    <t>Nagr.i wydat.nie zal.do wynagr.</t>
  </si>
  <si>
    <t>85156</t>
  </si>
  <si>
    <t>skł. na ubezp. zdrow.osób nie obj. obow.ubezp.zdrow.</t>
  </si>
  <si>
    <t>4130</t>
  </si>
  <si>
    <t>Składki na ubezp.zdrow.</t>
  </si>
  <si>
    <t>4600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</si>
  <si>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</si>
  <si>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</si>
  <si>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</si>
  <si>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</si>
  <si>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</si>
  <si>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</si>
  <si>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</si>
  <si>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</si>
  <si>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</si>
  <si>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</si>
  <si>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</si>
  <si>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</si>
  <si>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</si>
  <si>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</si>
  <si>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</si>
  <si>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4018</t>
  </si>
  <si>
    <t>4019</t>
  </si>
  <si>
    <t>4118</t>
  </si>
  <si>
    <t>4119</t>
  </si>
  <si>
    <t>4128</t>
  </si>
  <si>
    <t>4129</t>
  </si>
  <si>
    <t>85117</t>
  </si>
  <si>
    <t>Zakłady opiekuńczo-lecznicze          i pielęgnacyjno-opiekuńcze</t>
  </si>
  <si>
    <t>85203</t>
  </si>
  <si>
    <t>85395</t>
  </si>
  <si>
    <t>3118</t>
  </si>
  <si>
    <t>3119</t>
  </si>
  <si>
    <t>85311</t>
  </si>
  <si>
    <t>Rehabilitacja zawodowa                i społeczna osób niepełnosprawnych</t>
  </si>
  <si>
    <t>na zadania bieżące realizowane na podstawie porozumień</t>
  </si>
  <si>
    <t>Projekt planu 2007</t>
  </si>
  <si>
    <t>Dotacje cel.przekaz.gminie na podst.porozumień z jst</t>
  </si>
  <si>
    <t>Nagr.i wydatki nie zal.do wynagr.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</si>
  <si>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</si>
  <si>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</si>
  <si>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</si>
  <si>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</si>
  <si>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</si>
  <si>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</si>
  <si>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</si>
  <si>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</si>
  <si>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</si>
  <si>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</si>
  <si>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</si>
  <si>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</si>
  <si>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</si>
  <si>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</si>
  <si>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</si>
  <si>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</si>
  <si>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Cent.Eduk.Rozw.Zaw.Olecko</t>
  </si>
  <si>
    <t>Szkoła w Kowalach Oleckich</t>
  </si>
  <si>
    <t>STO Olecko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</si>
  <si>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</si>
  <si>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</si>
  <si>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</si>
  <si>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</si>
  <si>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</si>
  <si>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</si>
  <si>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</si>
  <si>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</si>
  <si>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</si>
  <si>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</si>
  <si>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</si>
  <si>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</si>
  <si>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</si>
  <si>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</si>
  <si>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</si>
  <si>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Wydatki na inwestycje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</si>
  <si>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</si>
  <si>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</si>
  <si>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</si>
  <si>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</si>
  <si>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</si>
  <si>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</si>
  <si>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</si>
  <si>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</si>
  <si>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</si>
  <si>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</si>
  <si>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</si>
  <si>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</si>
  <si>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</si>
  <si>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</si>
  <si>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</si>
  <si>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</si>
  <si>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</si>
  <si>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</si>
  <si>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</si>
  <si>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</si>
  <si>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</si>
  <si>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</si>
  <si>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</si>
  <si>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</si>
  <si>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Struktura % (5:4)</t>
  </si>
  <si>
    <t>Wydatki       z tytułu poręczeń     i gwarancji</t>
  </si>
  <si>
    <t>Kary i odszkod.wypłac.osobom fiz.</t>
  </si>
  <si>
    <t>6058</t>
  </si>
  <si>
    <t>75075</t>
  </si>
  <si>
    <t>Promocja jednostek samorządu terytorialnego</t>
  </si>
  <si>
    <t>Dotacje celowe przekazane gminie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</si>
  <si>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</si>
  <si>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</si>
  <si>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</si>
  <si>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</si>
  <si>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</si>
  <si>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</si>
  <si>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</si>
  <si>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</si>
  <si>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</si>
  <si>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</si>
  <si>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</si>
  <si>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</si>
  <si>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</si>
  <si>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</si>
  <si>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</si>
  <si>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</si>
  <si>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</si>
  <si>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PLAN WYDATKÓW BUDŻETU POWIATU NA ROK 2007</t>
  </si>
  <si>
    <t>Załącznik nr 2 do Uchwały Rady Powiatu w Olecku Nr........../......./........ z dn. ..................</t>
  </si>
  <si>
    <t>Wynagrodzenia osobowe prac.</t>
  </si>
  <si>
    <t>Jednostki specjalistycznego poradnictwa, mieszkania chronione i ośrodki interwencji kryzysowej</t>
  </si>
  <si>
    <t>Odpis na ZFŚS naucz.emerytów</t>
  </si>
  <si>
    <t>Nagr.i wyd.nie zal.do wynagrodzeń</t>
  </si>
  <si>
    <t>6051</t>
  </si>
  <si>
    <t>Stypendia  dla uczniów</t>
  </si>
  <si>
    <t>3248</t>
  </si>
  <si>
    <t>3249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</si>
  <si>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</si>
  <si>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</si>
  <si>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</si>
  <si>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</si>
  <si>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</si>
  <si>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</si>
  <si>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</si>
  <si>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</si>
  <si>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</si>
  <si>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</si>
  <si>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</si>
  <si>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</si>
  <si>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</si>
  <si>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</si>
  <si>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</si>
  <si>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</si>
  <si>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</si>
  <si>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</si>
  <si>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</si>
  <si>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</si>
  <si>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</si>
  <si>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</si>
  <si>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</si>
  <si>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</si>
  <si>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Dot.podmiot z budż. dla szkół niepub. (Cent. Eduk. Specj.w Olecku)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</si>
  <si>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</si>
  <si>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</si>
  <si>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</si>
  <si>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</si>
  <si>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</si>
  <si>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</si>
  <si>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</si>
  <si>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</si>
  <si>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</si>
  <si>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</si>
  <si>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</si>
  <si>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</si>
  <si>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</si>
  <si>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</si>
  <si>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</si>
  <si>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</si>
  <si>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</si>
  <si>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</si>
  <si>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</si>
  <si>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</si>
  <si>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</si>
  <si>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</si>
  <si>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</si>
  <si>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</si>
  <si>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</si>
  <si>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</si>
  <si>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</si>
  <si>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</si>
  <si>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</si>
  <si>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p.w. 2006</t>
  </si>
  <si>
    <t>plan 2007</t>
  </si>
  <si>
    <t>dotacje na real. zad. bież. jed. sekt. finan. publicz.</t>
  </si>
  <si>
    <t>Fundusz Ochrony Środowiska             i Gospodarki Wodnej</t>
  </si>
  <si>
    <t>Gospodarka komunalna                    i ochrona środowiska</t>
  </si>
  <si>
    <t xml:space="preserve">a) </t>
  </si>
  <si>
    <t>6619</t>
  </si>
  <si>
    <t>2888</t>
  </si>
  <si>
    <t>2889</t>
  </si>
  <si>
    <t>wpłaty z zysku jednoosobowych spłek samorządu terytprialnego</t>
  </si>
  <si>
    <t>dotacje cel. na zad. bież.real.przez powiat na podst.poroz. z org.adm.rząd.</t>
  </si>
  <si>
    <t>PLAN DOCHODÓW BUDŻETU POWIATU NA ROK 2007</t>
  </si>
  <si>
    <t>6299</t>
  </si>
  <si>
    <t>środki na dofin. własnych inwestycji otrzym.z innych źródeł</t>
  </si>
  <si>
    <t>2. Dochody własne</t>
  </si>
  <si>
    <t xml:space="preserve">                                                 Przewodniczący Rady Powiatu:</t>
  </si>
  <si>
    <t>w tym: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</si>
  <si>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</si>
  <si>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</si>
  <si>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</si>
  <si>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</si>
  <si>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</si>
  <si>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</si>
  <si>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</si>
  <si>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</si>
  <si>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</si>
  <si>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</si>
  <si>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</si>
  <si>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</si>
  <si>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</si>
  <si>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</si>
  <si>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</si>
  <si>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</si>
  <si>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</si>
  <si>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</si>
  <si>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</si>
  <si>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</si>
  <si>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</si>
  <si>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</si>
  <si>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</si>
  <si>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</si>
  <si>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</si>
  <si>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</si>
  <si>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</si>
  <si>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Plan 2006</t>
  </si>
  <si>
    <t>0730</t>
  </si>
  <si>
    <t>Pow.Centra Pomocy Rodzinie</t>
  </si>
  <si>
    <t>6298</t>
  </si>
  <si>
    <t>środki na dofin.własnych inwest. pozyskane z innych źródeł</t>
  </si>
  <si>
    <t>Szkolnictwo wyższe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</si>
  <si>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</si>
  <si>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</si>
  <si>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</si>
  <si>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</si>
  <si>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</si>
  <si>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</si>
  <si>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</si>
  <si>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</si>
  <si>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</si>
  <si>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</si>
  <si>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</si>
  <si>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</si>
  <si>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</si>
  <si>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</si>
  <si>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</si>
  <si>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</si>
  <si>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</si>
  <si>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</si>
  <si>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</si>
  <si>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</si>
  <si>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</si>
  <si>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</si>
  <si>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</si>
  <si>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</si>
  <si>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</si>
  <si>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</si>
  <si>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</si>
  <si>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</si>
  <si>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</si>
  <si>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</si>
  <si>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</si>
  <si>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</si>
  <si>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</si>
  <si>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</si>
  <si>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</si>
  <si>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</si>
  <si>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</si>
  <si>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</si>
  <si>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</si>
  <si>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</si>
  <si>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</si>
  <si>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</si>
  <si>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</si>
  <si>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</si>
  <si>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</si>
  <si>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</si>
  <si>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</si>
  <si>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</si>
  <si>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</si>
  <si>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</si>
  <si>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</si>
  <si>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</si>
  <si>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</si>
  <si>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</si>
  <si>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</si>
  <si>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</si>
  <si>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</si>
  <si>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</si>
  <si>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</si>
  <si>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 xml:space="preserve">Działanie 3.1 Obszary wiejskie </t>
  </si>
  <si>
    <t>Razem wydatki:</t>
  </si>
  <si>
    <t>600, 60014</t>
  </si>
  <si>
    <t>2007 r.</t>
  </si>
  <si>
    <t>2008 r.</t>
  </si>
  <si>
    <t>Program: ZPORR 2004-2006 "Przebudowa drogi powiatowej nr 40454 Olecko - Świętajno - Dunajek km 7+350 - km 13+000"</t>
  </si>
  <si>
    <t>Priorytet 3 - Rozwój lokalny</t>
  </si>
  <si>
    <t>z dnia ................</t>
  </si>
  <si>
    <t>z tego</t>
  </si>
  <si>
    <t>pochodne od wynagrodzeń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</si>
  <si>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</si>
  <si>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</si>
  <si>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</si>
  <si>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>w złotych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</si>
  <si>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</si>
  <si>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</si>
  <si>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</si>
  <si>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</si>
  <si>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Zespół Szkół Technicznych w Olecku</t>
  </si>
  <si>
    <t>10.</t>
  </si>
  <si>
    <t>Powiatowy Zarząd Dróg w Olecku</t>
  </si>
  <si>
    <t>12.</t>
  </si>
  <si>
    <t>Nazwa zadania inwestycyjnego i okres realizacji (w latach)</t>
  </si>
  <si>
    <t>kredyty i pożyczki</t>
  </si>
  <si>
    <t>Modernizacja drogi powiatowej nr 40454 Olecko-Świętajno (lata: 2001 - 2002)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</si>
  <si>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</si>
  <si>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</si>
  <si>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</si>
  <si>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</si>
  <si>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</si>
  <si>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</si>
  <si>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</si>
  <si>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>wskaźnik % (7:6)</t>
  </si>
  <si>
    <t>struktura procentowa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</si>
  <si>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</si>
  <si>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</si>
  <si>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</si>
  <si>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</si>
  <si>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</si>
  <si>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</si>
  <si>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</si>
  <si>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</si>
  <si>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</si>
  <si>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</si>
  <si>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</si>
  <si>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</si>
  <si>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</si>
  <si>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</si>
  <si>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Agencja Restrukturyzacji i Modernizacji Rolnictwa</t>
  </si>
  <si>
    <t>Środki na dofinansowanie własnych zadań bieżących powiatów, pozyskane z innych źródeł</t>
  </si>
  <si>
    <t>Fundusz Ochrony Gruntów Rolnych</t>
  </si>
  <si>
    <t>dotacje celowe na finansowanie inwestycji jedn.sekt.fin.publ.</t>
  </si>
  <si>
    <t>dotacje celowe otrzymane z gmin na inwestycje</t>
  </si>
  <si>
    <t>01027</t>
  </si>
  <si>
    <t>01028</t>
  </si>
  <si>
    <t>Urzędy naczelnych organów władzy państwowej, kontroli i ochrony prawa oraz sądownictwa</t>
  </si>
  <si>
    <t>Wybory do rad gmin, rad powiatów, sejmików województw</t>
  </si>
  <si>
    <t>Dot. cel. otrzym. z samorz. woj.. na inwestycje i zakupy inwestycyjne realizowane na podstawie z j.s.t.</t>
  </si>
  <si>
    <t>część oświatowa subw. ogólnej dla jst</t>
  </si>
  <si>
    <t>uzupełnienie subwencji ogólnej dla powiatów</t>
  </si>
  <si>
    <t>środki na inwestycje rozpoczęte przed dniem 01.01.1999r.</t>
  </si>
  <si>
    <t>Biblioteki pedagogiczne</t>
  </si>
  <si>
    <t>13.</t>
  </si>
  <si>
    <t>dotacje celowe na zadania z zakresu administracji rządowej</t>
  </si>
  <si>
    <t>14.</t>
  </si>
  <si>
    <t>doch. z najmu i dzierżawy składn. mająt.</t>
  </si>
  <si>
    <t>dotacje cel. na zad. bież.real.prez powiat na podst.poroz. z org.adm.rząd.</t>
  </si>
  <si>
    <t>2120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</si>
  <si>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</si>
  <si>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</si>
  <si>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</si>
  <si>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</si>
  <si>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</si>
  <si>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</si>
  <si>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g)</t>
  </si>
  <si>
    <t>15.</t>
  </si>
  <si>
    <t>2440</t>
  </si>
  <si>
    <t>6260</t>
  </si>
  <si>
    <t>Dotacje celowe otrzymane przez j.s.t. od innej j.s.t. będącej instytucją wdrażającą na zadania bieżące realizowane na podstawie porozumień - umów</t>
  </si>
  <si>
    <t>16.</t>
  </si>
  <si>
    <t>Sprzedaż składników majątkowych</t>
  </si>
  <si>
    <t>Pomoc materialna dla uczniów</t>
  </si>
  <si>
    <t>17.</t>
  </si>
  <si>
    <t>Przewidywane wykonanie 2006</t>
  </si>
  <si>
    <t>Plan 2007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</si>
  <si>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</si>
  <si>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</si>
  <si>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</si>
  <si>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</si>
  <si>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</si>
  <si>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</si>
  <si>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</si>
  <si>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</si>
  <si>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</si>
  <si>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</si>
  <si>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</si>
  <si>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</si>
  <si>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</si>
  <si>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</si>
  <si>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</si>
  <si>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</si>
  <si>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</si>
  <si>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</si>
  <si>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</si>
  <si>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</si>
  <si>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</si>
  <si>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</si>
  <si>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</si>
  <si>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§ 2710 wydatki na pomoc finansową udzielaną na podstawie porozumień z jst na dofinansow. zadań bieżących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</si>
  <si>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</si>
  <si>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</si>
  <si>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</si>
  <si>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</si>
  <si>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</si>
  <si>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Plan na 2007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</si>
  <si>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</si>
  <si>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</si>
  <si>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</si>
  <si>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</si>
  <si>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</si>
  <si>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</si>
  <si>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</si>
  <si>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</si>
  <si>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</si>
  <si>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</si>
  <si>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</si>
  <si>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</si>
  <si>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</si>
  <si>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VI.1.</t>
  </si>
  <si>
    <t>VI.2.</t>
  </si>
  <si>
    <t>VII.1.</t>
  </si>
  <si>
    <t>VII.2.</t>
  </si>
  <si>
    <t>środki pochodzące z innych źródeł</t>
  </si>
  <si>
    <t>Plan na 2006 r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</si>
  <si>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</si>
  <si>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</si>
  <si>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</si>
  <si>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</si>
  <si>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</si>
  <si>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</si>
  <si>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</si>
  <si>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</si>
  <si>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</si>
  <si>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f)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</si>
  <si>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</si>
  <si>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</si>
  <si>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</si>
  <si>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Dochody własne ogółem,                            w tym:</t>
  </si>
  <si>
    <t>Przedszkola Specjalne</t>
  </si>
  <si>
    <t>Szkoły Podstawowe Specjalne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</si>
  <si>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</si>
  <si>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</si>
  <si>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</si>
  <si>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</si>
  <si>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</si>
  <si>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</si>
  <si>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</si>
  <si>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Ełk</t>
  </si>
  <si>
    <t>Powiat Sejny</t>
  </si>
  <si>
    <t>Powiat Grajewo</t>
  </si>
  <si>
    <t>część wyrównawcza subwencji ogólnej dla powiatów</t>
  </si>
  <si>
    <t>DOCHODY OGÓŁEM</t>
  </si>
  <si>
    <t>1. Dotacje celowe</t>
  </si>
  <si>
    <t>§ 2450-dotacje przekazane z funduszy celowych na realizację zadań bieżących dla jednostek niezalicznych do sektora finansów publicznych</t>
  </si>
  <si>
    <t>- uzysk.z f.celowych (§ 244, 626)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</si>
  <si>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</si>
  <si>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</si>
  <si>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</si>
  <si>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</si>
  <si>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</si>
  <si>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</si>
  <si>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</si>
  <si>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</si>
  <si>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</si>
  <si>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</si>
  <si>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</si>
  <si>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</si>
  <si>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</si>
  <si>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</si>
  <si>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</si>
  <si>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</si>
  <si>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</si>
  <si>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Bursa Szkolna w Gołdapi</t>
  </si>
  <si>
    <t>6439</t>
  </si>
  <si>
    <t>6291</t>
  </si>
  <si>
    <t>Zespół Szkół Zawodowych w Gołdapi</t>
  </si>
  <si>
    <t>Specjalny Ośrodek Szkol-Wych Gołdap</t>
  </si>
  <si>
    <t>Dom Dziecka w Gołdapi</t>
  </si>
  <si>
    <t>Dom Dziecka w Olecku</t>
  </si>
  <si>
    <t>Powiatowa Stacja Sanit-Epid. w Olecku</t>
  </si>
  <si>
    <t>Zespół Szkół Ogólnok. w Gołdapi</t>
  </si>
  <si>
    <t>Kom. Pow. Państ. Straży Poż.  Olecko</t>
  </si>
  <si>
    <t>3250</t>
  </si>
  <si>
    <t>4610</t>
  </si>
  <si>
    <t>Gospodarka leśna</t>
  </si>
  <si>
    <t>02001</t>
  </si>
  <si>
    <t>751</t>
  </si>
  <si>
    <t>75109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</si>
  <si>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</si>
  <si>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</si>
  <si>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</si>
  <si>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</si>
  <si>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</si>
  <si>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URZĘDY NACZELNYCH ORGANÓW WŁADZY PAŃSTWOWEJ, KONTROLI I OCHRONY PRAW ORAZ SADOWNICTWA</t>
  </si>
  <si>
    <t xml:space="preserve">Plan przychodów i wydatków Powiatowego Funduszu Ochrony Środowiska i Gospodarki Wodnej </t>
  </si>
  <si>
    <t>§ 2440-dotacje przekazane z funduszy celowych na realizację zadań bieżących dla jednostek sektora finansów publicznych</t>
  </si>
  <si>
    <t>Wydatki majątkowe, w tym</t>
  </si>
  <si>
    <t xml:space="preserve"> § 4210-zakup materiałów i wyposażenia</t>
  </si>
  <si>
    <t>Odsetki od kredytów i pożyczek</t>
  </si>
  <si>
    <t>Prognoza kwoty długu powiatu na rok 2007 i lata następne</t>
  </si>
  <si>
    <t>Przewidywane</t>
  </si>
  <si>
    <t>Przewidywany stan na koniec roku</t>
  </si>
  <si>
    <t>Rodzaj</t>
  </si>
  <si>
    <t>wykonanie</t>
  </si>
  <si>
    <t>zadłużenia</t>
  </si>
  <si>
    <t>na koniec</t>
  </si>
  <si>
    <t>31.12.2006 r.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</si>
  <si>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</si>
  <si>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</si>
  <si>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</si>
  <si>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</si>
  <si>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</si>
  <si>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</si>
  <si>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</si>
  <si>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</si>
  <si>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</si>
  <si>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</si>
  <si>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</si>
  <si>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Przewidywane wykonanie w 2006 r.</t>
  </si>
  <si>
    <t>z opłat</t>
  </si>
  <si>
    <t>z majątku jednostki</t>
  </si>
  <si>
    <t>z udziału w podatkach</t>
  </si>
  <si>
    <t>Spłata zaciągniętych pożyczek, kredytów, w tym:</t>
  </si>
  <si>
    <t>D.</t>
  </si>
  <si>
    <t>Wybory do rad gmin, rad powiatów i sejmików województw oraz referenda gminne, powiatowe i wojew.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</si>
  <si>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</si>
  <si>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</si>
  <si>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</si>
  <si>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</si>
  <si>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</si>
  <si>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</si>
  <si>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</si>
  <si>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</si>
  <si>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</si>
  <si>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</si>
  <si>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</si>
  <si>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Przewidywane wykonanie 2002</t>
  </si>
  <si>
    <t>Nagr.i wyd.nie zal.do wynagr</t>
  </si>
  <si>
    <t>Zakup leków i środków medycznych</t>
  </si>
  <si>
    <t>Nazwa jednostki</t>
  </si>
  <si>
    <t>kwota dotacji</t>
  </si>
  <si>
    <t>Centrum "Omega"</t>
  </si>
  <si>
    <t>Studium Policealne Hotelarstwa (zaoczne dla dorosłych)</t>
  </si>
  <si>
    <t>Wyrównanie  z tyt.rozliczenia dotacji za 2002rok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</si>
  <si>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</si>
  <si>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</si>
  <si>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</si>
  <si>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</si>
  <si>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</si>
  <si>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</si>
  <si>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</si>
  <si>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</si>
  <si>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 xml:space="preserve"> Gmina Kowale Oleckie</t>
  </si>
  <si>
    <t xml:space="preserve"> Gmina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</si>
  <si>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</si>
  <si>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</si>
  <si>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</si>
  <si>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</si>
  <si>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</si>
  <si>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</si>
  <si>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</si>
  <si>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</si>
  <si>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</si>
  <si>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</si>
  <si>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</si>
  <si>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</si>
  <si>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</si>
  <si>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</si>
  <si>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</si>
  <si>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</si>
  <si>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</si>
  <si>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</si>
  <si>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(w zł)</t>
  </si>
  <si>
    <t>Kwota dotacji</t>
  </si>
  <si>
    <t>VIII.</t>
  </si>
  <si>
    <t xml:space="preserve"> - Gmina Kowale Oleckie</t>
  </si>
  <si>
    <t>Urzędy marszałkowskie</t>
  </si>
  <si>
    <t>wydatki inwestycyjne jednostek budżetowych</t>
  </si>
  <si>
    <t>Wydatki inwestycyjne</t>
  </si>
  <si>
    <t>Wydatki na zakupy inwestycyjne</t>
  </si>
  <si>
    <t>Wynagr. osobowe pracowników</t>
  </si>
  <si>
    <t>Wynagr. os. czł. korp. sł. cywiln.</t>
  </si>
  <si>
    <t xml:space="preserve"> - Urząd Marszałkowski w Olsztynie</t>
  </si>
  <si>
    <t>Nazwa zadania</t>
  </si>
  <si>
    <t>OGÓŁEM KOWTA DOTACJI</t>
  </si>
  <si>
    <t>Umasowienie sportu wsród dzieci, młodzieży i dorosłych, promocja powiatu na imprezach ogólnopolskich oraz organizacja imprez ponadlokalnych na terenie powiatu oleckiego</t>
  </si>
  <si>
    <t>§ 6120- wydatki na zakupy inwestycyjne</t>
  </si>
  <si>
    <t>4580</t>
  </si>
  <si>
    <t>kary i odszkod.na rzecz os.fiz.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</si>
  <si>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</si>
  <si>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</si>
  <si>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</si>
  <si>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</si>
  <si>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Powiat. Inspektorat Wet. w  Olecku</t>
  </si>
  <si>
    <t>Wydatki inwest.jedn.budżetowych</t>
  </si>
  <si>
    <t>Kredyty zaciągane w bankach krajowych</t>
  </si>
  <si>
    <t>Ośrodki informacji turystycznej</t>
  </si>
  <si>
    <t xml:space="preserve"> - dotacja z samorządu wojewódzkiego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</si>
  <si>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</si>
  <si>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</si>
  <si>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</si>
  <si>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</si>
  <si>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</si>
  <si>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</si>
  <si>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</si>
  <si>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</si>
  <si>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</si>
  <si>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</si>
  <si>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Stan środków pieniężnych  na początku roku</t>
  </si>
  <si>
    <t xml:space="preserve">Wydatki  </t>
  </si>
  <si>
    <t>Stan środków pieniężnych  na koniec roku</t>
  </si>
  <si>
    <t>Opracowania geodez. i kartogr.</t>
  </si>
  <si>
    <t xml:space="preserve">Zakład Doskonalenia Zawodowego w Białymstoku </t>
  </si>
  <si>
    <t>Liceum Ogólnokształcące dla Dorosłych</t>
  </si>
  <si>
    <t>Liceum Ekonomiczne, Policealne Studium Zawodowe, Technikum</t>
  </si>
  <si>
    <t>Centrum Edukacji i Rozwoju Zawodowego w Olecku</t>
  </si>
  <si>
    <t xml:space="preserve">Liceum Ogólnokształcące dla Dorosłych </t>
  </si>
  <si>
    <t>Liceum Ekonomiczne, Studium Zarządzania Biznesem</t>
  </si>
  <si>
    <t>Centrum Edukacji Specjalnej  w Olecku</t>
  </si>
  <si>
    <t>Gimnazjum Specjalne</t>
  </si>
  <si>
    <t>Zasadnicza Szkoła Zawodowa, Szkoła przysposabiająca do pracy</t>
  </si>
  <si>
    <t>Przewodniczący Rady Powiatu</t>
  </si>
  <si>
    <t>3240</t>
  </si>
  <si>
    <t>dot. podmiot. z budż. dla SP ZOZ</t>
  </si>
  <si>
    <t>Samorząd województwa</t>
  </si>
  <si>
    <t>WYSZCZEGÓLNIENIE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</si>
  <si>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</si>
  <si>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</si>
  <si>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</si>
  <si>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</si>
  <si>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</si>
  <si>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</si>
  <si>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</si>
  <si>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VI.</t>
  </si>
  <si>
    <t>Dotacje dla gmin</t>
  </si>
  <si>
    <t>Zakup usług pozostałych`</t>
  </si>
  <si>
    <t>Dochody przeznaczone na pokrycie wydatków (I-V)</t>
  </si>
  <si>
    <t>VII.</t>
  </si>
  <si>
    <t>Wydatki nie znajdujące pokrycia w planowanych dochodach (II-VI)</t>
  </si>
  <si>
    <t>do Uchwały Rady Powiatu w Olecku  nr......../……/……</t>
  </si>
  <si>
    <t xml:space="preserve"> Załącznik nr 3b                                     do Uchwały Rady Powiatu                w Olecku                 nr ......./......./........                                    z dnia ........................</t>
  </si>
  <si>
    <t xml:space="preserve">Załącznik nr 7 do Uchwały Rady Powiatu w Olecku Nr......./........../... z dn.............. </t>
  </si>
  <si>
    <t>Dochody i wydatki związane z realizacją zadań z zakresu administracji rządowej wykonywanych na podstawie porozumień z organami administracji rządowej w 2007 roku</t>
  </si>
  <si>
    <t>Załącznik nr 10</t>
  </si>
  <si>
    <t>Załącznik Nr 11 do Uchwały Rady Powiatu             w Olecku Nr ....../...../.....                z dnia ............</t>
  </si>
  <si>
    <t>Załacznik Nr 12 do Uchwały Rady Powiatu  w Olecku Nr ..../......./.....        z dnia ............</t>
  </si>
  <si>
    <t xml:space="preserve">Załącznik nr 13 do Uchwały Rady Powiatu  w Olecku  ..../....../....                                                                                          z dnia ................ </t>
  </si>
  <si>
    <t>Załącznik nr 14 do Uchwały Rady Powiatu w Olecku nr …../…./…..  z dnia ………………….</t>
  </si>
  <si>
    <t>Załącznik nr 14a</t>
  </si>
  <si>
    <t>do uchwały Rady Powiatu w Olecku nr ....../...../......</t>
  </si>
  <si>
    <t>Przewodniczący Rady Powitu</t>
  </si>
  <si>
    <t>Załącznik nr 1 do Uchwały Rady Powiatu w Olecku Nr......../......../....                                    z dnia ...........................</t>
  </si>
  <si>
    <t>Planowana, łączna kwota długu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</si>
</sst>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4" fillId="0" borderId="3" xfId="0" applyFont="1" applyBorder="1" applyAlignment="1">
      <alignment/>
    </xf>
    <xf numFmtId="0" fontId="0" fillId="0" borderId="3" xfId="0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0" fillId="0" borderId="0" xfId="0" applyAlignment="1">
      <alignment horizontal="right"/>
    </xf>
    <xf numFmtId="0" fontId="4" fillId="0" borderId="20" xfId="0" applyFont="1" applyBorder="1" applyAlignment="1">
      <alignment horizontal="center"/>
    </xf>
    <xf numFmtId="41" fontId="9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23" xfId="0" applyBorder="1" applyAlignment="1">
      <alignment horizontal="center"/>
    </xf>
    <xf numFmtId="49" fontId="0" fillId="0" borderId="24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4" fillId="0" borderId="18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5" xfId="0" applyBorder="1" applyAlignment="1">
      <alignment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49" fontId="4" fillId="0" borderId="25" xfId="0" applyNumberFormat="1" applyFont="1" applyBorder="1" applyAlignment="1">
      <alignment/>
    </xf>
    <xf numFmtId="49" fontId="0" fillId="0" borderId="25" xfId="0" applyNumberFormat="1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/>
    </xf>
    <xf numFmtId="0" fontId="10" fillId="0" borderId="1" xfId="0" applyFont="1" applyBorder="1" applyAlignment="1">
      <alignment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35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2" xfId="0" applyBorder="1" applyAlignment="1">
      <alignment wrapText="1"/>
    </xf>
    <xf numFmtId="0" fontId="0" fillId="2" borderId="0" xfId="0" applyFill="1" applyAlignment="1">
      <alignment/>
    </xf>
    <xf numFmtId="0" fontId="0" fillId="0" borderId="3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7" xfId="0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2" fontId="0" fillId="3" borderId="3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4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/>
    </xf>
    <xf numFmtId="49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41" fontId="12" fillId="0" borderId="6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4" fillId="4" borderId="10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" fillId="4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0" fillId="4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8" fillId="4" borderId="1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49" fontId="4" fillId="4" borderId="3" xfId="0" applyNumberFormat="1" applyFont="1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9" fillId="4" borderId="3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4" borderId="1" xfId="0" applyNumberFormat="1" applyFill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10" fillId="0" borderId="42" xfId="0" applyFont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/>
      <protection/>
    </xf>
    <xf numFmtId="0" fontId="12" fillId="0" borderId="42" xfId="0" applyFont="1" applyBorder="1" applyAlignment="1" applyProtection="1">
      <alignment horizontal="center"/>
      <protection/>
    </xf>
    <xf numFmtId="0" fontId="7" fillId="4" borderId="1" xfId="0" applyFont="1" applyFill="1" applyBorder="1" applyAlignment="1">
      <alignment wrapText="1"/>
    </xf>
    <xf numFmtId="0" fontId="4" fillId="4" borderId="30" xfId="0" applyNumberFormat="1" applyFont="1" applyFill="1" applyBorder="1" applyAlignment="1">
      <alignment/>
    </xf>
    <xf numFmtId="10" fontId="0" fillId="5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 horizontal="left" wrapText="1"/>
    </xf>
    <xf numFmtId="2" fontId="0" fillId="5" borderId="3" xfId="0" applyNumberFormat="1" applyFont="1" applyFill="1" applyBorder="1" applyAlignment="1">
      <alignment/>
    </xf>
    <xf numFmtId="10" fontId="0" fillId="5" borderId="3" xfId="0" applyNumberFormat="1" applyFont="1" applyFill="1" applyBorder="1" applyAlignment="1">
      <alignment/>
    </xf>
    <xf numFmtId="0" fontId="4" fillId="4" borderId="3" xfId="0" applyNumberFormat="1" applyFont="1" applyFill="1" applyBorder="1" applyAlignment="1">
      <alignment/>
    </xf>
    <xf numFmtId="2" fontId="4" fillId="4" borderId="3" xfId="0" applyNumberFormat="1" applyFont="1" applyFill="1" applyBorder="1" applyAlignment="1">
      <alignment/>
    </xf>
    <xf numFmtId="10" fontId="4" fillId="4" borderId="3" xfId="0" applyNumberFormat="1" applyFont="1" applyFill="1" applyBorder="1" applyAlignment="1">
      <alignment/>
    </xf>
    <xf numFmtId="0" fontId="4" fillId="4" borderId="11" xfId="0" applyNumberFormat="1" applyFont="1" applyFill="1" applyBorder="1" applyAlignment="1">
      <alignment/>
    </xf>
    <xf numFmtId="0" fontId="4" fillId="4" borderId="44" xfId="0" applyNumberFormat="1" applyFont="1" applyFill="1" applyBorder="1" applyAlignment="1">
      <alignment/>
    </xf>
    <xf numFmtId="0" fontId="4" fillId="4" borderId="30" xfId="0" applyFont="1" applyFill="1" applyBorder="1" applyAlignment="1">
      <alignment/>
    </xf>
    <xf numFmtId="10" fontId="4" fillId="5" borderId="3" xfId="0" applyNumberFormat="1" applyFont="1" applyFill="1" applyBorder="1" applyAlignment="1">
      <alignment/>
    </xf>
    <xf numFmtId="2" fontId="9" fillId="3" borderId="3" xfId="0" applyNumberFormat="1" applyFont="1" applyFill="1" applyBorder="1" applyAlignment="1">
      <alignment/>
    </xf>
    <xf numFmtId="0" fontId="9" fillId="0" borderId="30" xfId="0" applyNumberFormat="1" applyFont="1" applyBorder="1" applyAlignment="1">
      <alignment/>
    </xf>
    <xf numFmtId="49" fontId="7" fillId="5" borderId="1" xfId="0" applyNumberFormat="1" applyFont="1" applyFill="1" applyBorder="1" applyAlignment="1">
      <alignment horizontal="left" wrapText="1"/>
    </xf>
    <xf numFmtId="0" fontId="7" fillId="5" borderId="30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" xfId="0" applyNumberFormat="1" applyFont="1" applyBorder="1" applyAlignment="1">
      <alignment/>
    </xf>
    <xf numFmtId="0" fontId="7" fillId="4" borderId="1" xfId="0" applyFont="1" applyFill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9" fillId="0" borderId="11" xfId="0" applyNumberFormat="1" applyFont="1" applyBorder="1" applyAlignment="1">
      <alignment/>
    </xf>
    <xf numFmtId="0" fontId="7" fillId="5" borderId="30" xfId="0" applyNumberFormat="1" applyFont="1" applyFill="1" applyBorder="1" applyAlignment="1">
      <alignment/>
    </xf>
    <xf numFmtId="0" fontId="9" fillId="0" borderId="6" xfId="0" applyFont="1" applyBorder="1" applyAlignment="1">
      <alignment/>
    </xf>
    <xf numFmtId="10" fontId="0" fillId="3" borderId="1" xfId="0" applyNumberFormat="1" applyFont="1" applyFill="1" applyBorder="1" applyAlignment="1">
      <alignment/>
    </xf>
    <xf numFmtId="10" fontId="9" fillId="3" borderId="1" xfId="0" applyNumberFormat="1" applyFont="1" applyFill="1" applyBorder="1" applyAlignment="1">
      <alignment/>
    </xf>
    <xf numFmtId="0" fontId="9" fillId="3" borderId="30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0" borderId="36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9" fillId="0" borderId="6" xfId="0" applyFont="1" applyBorder="1" applyAlignment="1">
      <alignment horizontal="left" wrapText="1"/>
    </xf>
    <xf numFmtId="0" fontId="11" fillId="6" borderId="8" xfId="0" applyFont="1" applyFill="1" applyBorder="1" applyAlignment="1">
      <alignment/>
    </xf>
    <xf numFmtId="0" fontId="4" fillId="6" borderId="8" xfId="0" applyNumberFormat="1" applyFont="1" applyFill="1" applyBorder="1" applyAlignment="1">
      <alignment/>
    </xf>
    <xf numFmtId="2" fontId="4" fillId="6" borderId="8" xfId="0" applyNumberFormat="1" applyFont="1" applyFill="1" applyBorder="1" applyAlignment="1">
      <alignment/>
    </xf>
    <xf numFmtId="0" fontId="9" fillId="5" borderId="1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horizontal="right"/>
    </xf>
    <xf numFmtId="2" fontId="7" fillId="5" borderId="3" xfId="0" applyNumberFormat="1" applyFont="1" applyFill="1" applyBorder="1" applyAlignment="1">
      <alignment/>
    </xf>
    <xf numFmtId="10" fontId="7" fillId="5" borderId="3" xfId="0" applyNumberFormat="1" applyFont="1" applyFill="1" applyBorder="1" applyAlignment="1">
      <alignment/>
    </xf>
    <xf numFmtId="0" fontId="7" fillId="5" borderId="14" xfId="0" applyNumberFormat="1" applyFont="1" applyFill="1" applyBorder="1" applyAlignment="1">
      <alignment/>
    </xf>
    <xf numFmtId="0" fontId="7" fillId="5" borderId="12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5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 wrapText="1"/>
    </xf>
    <xf numFmtId="0" fontId="7" fillId="5" borderId="11" xfId="0" applyFont="1" applyFill="1" applyBorder="1" applyAlignment="1">
      <alignment/>
    </xf>
    <xf numFmtId="0" fontId="0" fillId="6" borderId="0" xfId="0" applyFill="1" applyAlignment="1">
      <alignment/>
    </xf>
    <xf numFmtId="0" fontId="7" fillId="5" borderId="11" xfId="0" applyNumberFormat="1" applyFont="1" applyFill="1" applyBorder="1" applyAlignment="1">
      <alignment/>
    </xf>
    <xf numFmtId="10" fontId="0" fillId="3" borderId="3" xfId="0" applyNumberFormat="1" applyFont="1" applyFill="1" applyBorder="1" applyAlignment="1">
      <alignment/>
    </xf>
    <xf numFmtId="10" fontId="4" fillId="6" borderId="35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10" fontId="9" fillId="3" borderId="3" xfId="0" applyNumberFormat="1" applyFont="1" applyFill="1" applyBorder="1" applyAlignment="1">
      <alignment/>
    </xf>
    <xf numFmtId="49" fontId="9" fillId="0" borderId="33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0" fontId="4" fillId="6" borderId="7" xfId="0" applyFont="1" applyFill="1" applyBorder="1" applyAlignment="1">
      <alignment horizontal="right"/>
    </xf>
    <xf numFmtId="0" fontId="4" fillId="6" borderId="8" xfId="0" applyFont="1" applyFill="1" applyBorder="1" applyAlignment="1">
      <alignment/>
    </xf>
    <xf numFmtId="10" fontId="0" fillId="3" borderId="2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 horizontal="right"/>
    </xf>
    <xf numFmtId="0" fontId="10" fillId="0" borderId="45" xfId="0" applyFont="1" applyBorder="1" applyAlignment="1" applyProtection="1">
      <alignment horizontal="right"/>
      <protection/>
    </xf>
    <xf numFmtId="0" fontId="12" fillId="0" borderId="46" xfId="0" applyFont="1" applyBorder="1" applyAlignment="1" applyProtection="1">
      <alignment horizontal="center"/>
      <protection/>
    </xf>
    <xf numFmtId="0" fontId="0" fillId="5" borderId="3" xfId="0" applyNumberFormat="1" applyFont="1" applyFill="1" applyBorder="1" applyAlignment="1">
      <alignment/>
    </xf>
    <xf numFmtId="0" fontId="0" fillId="5" borderId="1" xfId="0" applyNumberFormat="1" applyFont="1" applyFill="1" applyBorder="1" applyAlignment="1">
      <alignment/>
    </xf>
    <xf numFmtId="10" fontId="4" fillId="6" borderId="9" xfId="0" applyNumberFormat="1" applyFont="1" applyFill="1" applyBorder="1" applyAlignment="1">
      <alignment/>
    </xf>
    <xf numFmtId="0" fontId="9" fillId="5" borderId="3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0" fillId="0" borderId="0" xfId="0" applyNumberFormat="1" applyAlignment="1">
      <alignment/>
    </xf>
    <xf numFmtId="0" fontId="4" fillId="4" borderId="3" xfId="0" applyFont="1" applyFill="1" applyBorder="1" applyAlignment="1">
      <alignment/>
    </xf>
    <xf numFmtId="0" fontId="0" fillId="4" borderId="1" xfId="0" applyFill="1" applyBorder="1" applyAlignment="1">
      <alignment/>
    </xf>
    <xf numFmtId="0" fontId="4" fillId="5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12" fillId="0" borderId="1" xfId="0" applyFont="1" applyBorder="1" applyAlignment="1">
      <alignment/>
    </xf>
    <xf numFmtId="0" fontId="10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4" fillId="7" borderId="33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12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/>
    </xf>
    <xf numFmtId="49" fontId="4" fillId="3" borderId="1" xfId="0" applyNumberFormat="1" applyFont="1" applyFill="1" applyBorder="1" applyAlignment="1">
      <alignment/>
    </xf>
    <xf numFmtId="0" fontId="10" fillId="6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0" fillId="0" borderId="28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25" xfId="0" applyBorder="1" applyAlignment="1">
      <alignment/>
    </xf>
    <xf numFmtId="0" fontId="12" fillId="0" borderId="47" xfId="0" applyFont="1" applyBorder="1" applyAlignment="1">
      <alignment/>
    </xf>
    <xf numFmtId="0" fontId="0" fillId="0" borderId="2" xfId="0" applyFont="1" applyBorder="1" applyAlignment="1">
      <alignment wrapText="1"/>
    </xf>
    <xf numFmtId="165" fontId="0" fillId="0" borderId="0" xfId="0" applyNumberFormat="1" applyFont="1" applyAlignment="1">
      <alignment/>
    </xf>
    <xf numFmtId="0" fontId="0" fillId="3" borderId="0" xfId="0" applyFill="1" applyAlignment="1">
      <alignment/>
    </xf>
    <xf numFmtId="49" fontId="4" fillId="0" borderId="3" xfId="0" applyNumberFormat="1" applyFont="1" applyBorder="1" applyAlignment="1">
      <alignment horizontal="center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/>
    </xf>
    <xf numFmtId="0" fontId="10" fillId="7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10" fontId="12" fillId="3" borderId="3" xfId="0" applyNumberFormat="1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10" fontId="12" fillId="4" borderId="3" xfId="0" applyNumberFormat="1" applyFont="1" applyFill="1" applyBorder="1" applyAlignment="1">
      <alignment/>
    </xf>
    <xf numFmtId="0" fontId="12" fillId="3" borderId="6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2" fillId="0" borderId="1" xfId="0" applyNumberFormat="1" applyFont="1" applyBorder="1" applyAlignment="1">
      <alignment/>
    </xf>
    <xf numFmtId="1" fontId="12" fillId="3" borderId="3" xfId="0" applyNumberFormat="1" applyFont="1" applyFill="1" applyBorder="1" applyAlignment="1">
      <alignment/>
    </xf>
    <xf numFmtId="41" fontId="12" fillId="0" borderId="6" xfId="0" applyNumberFormat="1" applyFont="1" applyBorder="1" applyAlignment="1">
      <alignment horizontal="left"/>
    </xf>
    <xf numFmtId="41" fontId="12" fillId="0" borderId="6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7" borderId="1" xfId="0" applyFont="1" applyFill="1" applyBorder="1" applyAlignment="1">
      <alignment horizontal="center" vertical="center" wrapText="1"/>
    </xf>
    <xf numFmtId="41" fontId="10" fillId="7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1" fontId="10" fillId="2" borderId="1" xfId="0" applyNumberFormat="1" applyFont="1" applyFill="1" applyBorder="1" applyAlignment="1">
      <alignment horizontal="center"/>
    </xf>
    <xf numFmtId="41" fontId="12" fillId="2" borderId="1" xfId="0" applyNumberFormat="1" applyFont="1" applyFill="1" applyBorder="1" applyAlignment="1">
      <alignment horizontal="center" vertical="center"/>
    </xf>
    <xf numFmtId="41" fontId="12" fillId="7" borderId="1" xfId="0" applyNumberFormat="1" applyFont="1" applyFill="1" applyBorder="1" applyAlignment="1">
      <alignment horizontal="center" vertical="center"/>
    </xf>
    <xf numFmtId="41" fontId="12" fillId="7" borderId="2" xfId="0" applyNumberFormat="1" applyFont="1" applyFill="1" applyBorder="1" applyAlignment="1">
      <alignment horizontal="center" vertical="center"/>
    </xf>
    <xf numFmtId="41" fontId="12" fillId="7" borderId="6" xfId="0" applyNumberFormat="1" applyFont="1" applyFill="1" applyBorder="1" applyAlignment="1">
      <alignment horizontal="center" vertical="center"/>
    </xf>
    <xf numFmtId="41" fontId="12" fillId="7" borderId="3" xfId="0" applyNumberFormat="1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2" fillId="0" borderId="1" xfId="0" applyNumberFormat="1" applyFont="1" applyBorder="1" applyAlignment="1">
      <alignment/>
    </xf>
    <xf numFmtId="3" fontId="12" fillId="0" borderId="49" xfId="0" applyNumberFormat="1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wrapText="1"/>
    </xf>
    <xf numFmtId="0" fontId="12" fillId="0" borderId="28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4" fillId="3" borderId="12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3" fontId="10" fillId="3" borderId="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49" xfId="0" applyNumberFormat="1" applyFont="1" applyBorder="1" applyAlignment="1">
      <alignment/>
    </xf>
    <xf numFmtId="0" fontId="10" fillId="0" borderId="49" xfId="0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12" fillId="0" borderId="20" xfId="0" applyFont="1" applyBorder="1" applyAlignment="1">
      <alignment horizontal="left" vertical="center" wrapText="1" indent="1"/>
    </xf>
    <xf numFmtId="0" fontId="12" fillId="0" borderId="51" xfId="0" applyFont="1" applyBorder="1" applyAlignment="1">
      <alignment vertical="center" wrapText="1"/>
    </xf>
    <xf numFmtId="10" fontId="12" fillId="0" borderId="51" xfId="0" applyNumberFormat="1" applyFont="1" applyBorder="1" applyAlignment="1">
      <alignment vertical="center"/>
    </xf>
    <xf numFmtId="0" fontId="12" fillId="4" borderId="48" xfId="0" applyFont="1" applyFill="1" applyBorder="1" applyAlignment="1">
      <alignment vertical="center"/>
    </xf>
    <xf numFmtId="0" fontId="10" fillId="4" borderId="48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vertical="center"/>
    </xf>
    <xf numFmtId="0" fontId="10" fillId="4" borderId="28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9" xfId="0" applyFont="1" applyFill="1" applyBorder="1" applyAlignment="1">
      <alignment wrapText="1"/>
    </xf>
    <xf numFmtId="165" fontId="4" fillId="4" borderId="5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2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5" borderId="50" xfId="0" applyFont="1" applyFill="1" applyBorder="1" applyAlignment="1">
      <alignment horizontal="center"/>
    </xf>
    <xf numFmtId="0" fontId="4" fillId="5" borderId="38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/>
    </xf>
    <xf numFmtId="0" fontId="4" fillId="5" borderId="50" xfId="0" applyFont="1" applyFill="1" applyBorder="1" applyAlignment="1">
      <alignment/>
    </xf>
    <xf numFmtId="0" fontId="4" fillId="4" borderId="34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/>
    </xf>
    <xf numFmtId="0" fontId="0" fillId="5" borderId="55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6" xfId="0" applyFill="1" applyBorder="1" applyAlignment="1">
      <alignment/>
    </xf>
    <xf numFmtId="0" fontId="4" fillId="5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/>
    </xf>
    <xf numFmtId="0" fontId="4" fillId="5" borderId="57" xfId="0" applyFont="1" applyFill="1" applyBorder="1" applyAlignment="1">
      <alignment/>
    </xf>
    <xf numFmtId="0" fontId="0" fillId="5" borderId="8" xfId="0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10" fontId="10" fillId="4" borderId="3" xfId="0" applyNumberFormat="1" applyFont="1" applyFill="1" applyBorder="1" applyAlignment="1">
      <alignment/>
    </xf>
    <xf numFmtId="10" fontId="10" fillId="4" borderId="1" xfId="0" applyNumberFormat="1" applyFont="1" applyFill="1" applyBorder="1" applyAlignment="1">
      <alignment/>
    </xf>
    <xf numFmtId="0" fontId="7" fillId="5" borderId="56" xfId="0" applyFont="1" applyFill="1" applyBorder="1" applyAlignment="1">
      <alignment horizontal="center"/>
    </xf>
    <xf numFmtId="0" fontId="7" fillId="5" borderId="58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0" fontId="12" fillId="0" borderId="6" xfId="0" applyFont="1" applyBorder="1" applyAlignment="1">
      <alignment horizontal="right"/>
    </xf>
    <xf numFmtId="0" fontId="12" fillId="0" borderId="6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165" fontId="5" fillId="8" borderId="8" xfId="0" applyNumberFormat="1" applyFont="1" applyFill="1" applyBorder="1" applyAlignment="1">
      <alignment/>
    </xf>
    <xf numFmtId="165" fontId="5" fillId="8" borderId="35" xfId="0" applyNumberFormat="1" applyFont="1" applyFill="1" applyBorder="1" applyAlignment="1">
      <alignment/>
    </xf>
    <xf numFmtId="0" fontId="12" fillId="0" borderId="59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8" xfId="0" applyFont="1" applyBorder="1" applyAlignment="1">
      <alignment horizontal="center" wrapText="1"/>
    </xf>
    <xf numFmtId="0" fontId="12" fillId="0" borderId="6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0" fillId="4" borderId="52" xfId="0" applyFont="1" applyFill="1" applyBorder="1" applyAlignment="1">
      <alignment/>
    </xf>
    <xf numFmtId="0" fontId="10" fillId="7" borderId="49" xfId="0" applyFont="1" applyFill="1" applyBorder="1" applyAlignment="1">
      <alignment/>
    </xf>
    <xf numFmtId="10" fontId="12" fillId="3" borderId="52" xfId="0" applyNumberFormat="1" applyFont="1" applyFill="1" applyBorder="1" applyAlignment="1">
      <alignment horizontal="center"/>
    </xf>
    <xf numFmtId="0" fontId="10" fillId="4" borderId="49" xfId="0" applyFont="1" applyFill="1" applyBorder="1" applyAlignment="1">
      <alignment/>
    </xf>
    <xf numFmtId="1" fontId="12" fillId="3" borderId="52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0" fontId="12" fillId="3" borderId="49" xfId="0" applyFont="1" applyFill="1" applyBorder="1" applyAlignment="1">
      <alignment/>
    </xf>
    <xf numFmtId="10" fontId="12" fillId="4" borderId="52" xfId="0" applyNumberFormat="1" applyFont="1" applyFill="1" applyBorder="1" applyAlignment="1">
      <alignment horizontal="center"/>
    </xf>
    <xf numFmtId="0" fontId="12" fillId="3" borderId="52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 wrapText="1"/>
    </xf>
    <xf numFmtId="0" fontId="4" fillId="8" borderId="17" xfId="0" applyFont="1" applyFill="1" applyBorder="1" applyAlignment="1">
      <alignment/>
    </xf>
    <xf numFmtId="0" fontId="10" fillId="8" borderId="17" xfId="0" applyFont="1" applyFill="1" applyBorder="1" applyAlignment="1">
      <alignment/>
    </xf>
    <xf numFmtId="10" fontId="10" fillId="8" borderId="42" xfId="0" applyNumberFormat="1" applyFont="1" applyFill="1" applyBorder="1" applyAlignment="1">
      <alignment/>
    </xf>
    <xf numFmtId="0" fontId="10" fillId="8" borderId="61" xfId="0" applyFont="1" applyFill="1" applyBorder="1" applyAlignment="1">
      <alignment/>
    </xf>
    <xf numFmtId="0" fontId="14" fillId="6" borderId="16" xfId="0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/>
    </xf>
    <xf numFmtId="49" fontId="12" fillId="4" borderId="3" xfId="0" applyNumberFormat="1" applyFont="1" applyFill="1" applyBorder="1" applyAlignment="1">
      <alignment horizontal="left"/>
    </xf>
    <xf numFmtId="49" fontId="10" fillId="7" borderId="12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 horizontal="center"/>
    </xf>
    <xf numFmtId="49" fontId="10" fillId="4" borderId="12" xfId="0" applyNumberFormat="1" applyFont="1" applyFill="1" applyBorder="1" applyAlignment="1">
      <alignment/>
    </xf>
    <xf numFmtId="49" fontId="12" fillId="4" borderId="1" xfId="0" applyNumberFormat="1" applyFont="1" applyFill="1" applyBorder="1" applyAlignment="1">
      <alignment horizontal="left"/>
    </xf>
    <xf numFmtId="49" fontId="10" fillId="7" borderId="12" xfId="0" applyNumberFormat="1" applyFont="1" applyFill="1" applyBorder="1" applyAlignment="1">
      <alignment/>
    </xf>
    <xf numFmtId="49" fontId="12" fillId="7" borderId="1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49" fontId="10" fillId="3" borderId="12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4" borderId="6" xfId="0" applyNumberFormat="1" applyFont="1" applyFill="1" applyBorder="1" applyAlignment="1">
      <alignment horizontal="left"/>
    </xf>
    <xf numFmtId="49" fontId="10" fillId="7" borderId="4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horizontal="left"/>
    </xf>
    <xf numFmtId="49" fontId="12" fillId="0" borderId="13" xfId="0" applyNumberFormat="1" applyFont="1" applyBorder="1" applyAlignment="1">
      <alignment/>
    </xf>
    <xf numFmtId="49" fontId="12" fillId="0" borderId="6" xfId="0" applyNumberFormat="1" applyFont="1" applyBorder="1" applyAlignment="1">
      <alignment horizontal="left"/>
    </xf>
    <xf numFmtId="49" fontId="12" fillId="3" borderId="12" xfId="0" applyNumberFormat="1" applyFont="1" applyFill="1" applyBorder="1" applyAlignment="1">
      <alignment/>
    </xf>
    <xf numFmtId="49" fontId="10" fillId="0" borderId="12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4" borderId="12" xfId="0" applyNumberFormat="1" applyFont="1" applyFill="1" applyBorder="1" applyAlignment="1">
      <alignment horizontal="center"/>
    </xf>
    <xf numFmtId="49" fontId="12" fillId="7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8" borderId="5" xfId="0" applyNumberFormat="1" applyFont="1" applyFill="1" applyBorder="1" applyAlignment="1">
      <alignment horizontal="center"/>
    </xf>
    <xf numFmtId="49" fontId="12" fillId="8" borderId="17" xfId="0" applyNumberFormat="1" applyFont="1" applyFill="1" applyBorder="1" applyAlignment="1">
      <alignment/>
    </xf>
    <xf numFmtId="10" fontId="12" fillId="7" borderId="3" xfId="0" applyNumberFormat="1" applyFont="1" applyFill="1" applyBorder="1" applyAlignment="1">
      <alignment/>
    </xf>
    <xf numFmtId="10" fontId="10" fillId="7" borderId="3" xfId="0" applyNumberFormat="1" applyFont="1" applyFill="1" applyBorder="1" applyAlignment="1">
      <alignment/>
    </xf>
    <xf numFmtId="10" fontId="10" fillId="7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horizontal="center"/>
    </xf>
    <xf numFmtId="49" fontId="12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10" fontId="12" fillId="7" borderId="52" xfId="0" applyNumberFormat="1" applyFont="1" applyFill="1" applyBorder="1" applyAlignment="1">
      <alignment horizontal="center"/>
    </xf>
    <xf numFmtId="0" fontId="0" fillId="5" borderId="48" xfId="0" applyFill="1" applyBorder="1" applyAlignment="1">
      <alignment/>
    </xf>
    <xf numFmtId="0" fontId="4" fillId="5" borderId="62" xfId="0" applyFont="1" applyFill="1" applyBorder="1" applyAlignment="1">
      <alignment horizontal="center"/>
    </xf>
    <xf numFmtId="0" fontId="4" fillId="5" borderId="43" xfId="0" applyFont="1" applyFill="1" applyBorder="1" applyAlignment="1">
      <alignment/>
    </xf>
    <xf numFmtId="0" fontId="0" fillId="5" borderId="51" xfId="0" applyFill="1" applyBorder="1" applyAlignment="1">
      <alignment/>
    </xf>
    <xf numFmtId="0" fontId="4" fillId="5" borderId="29" xfId="0" applyFont="1" applyFill="1" applyBorder="1" applyAlignment="1">
      <alignment/>
    </xf>
    <xf numFmtId="0" fontId="4" fillId="5" borderId="51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63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61" xfId="0" applyBorder="1" applyAlignment="1">
      <alignment/>
    </xf>
    <xf numFmtId="0" fontId="4" fillId="4" borderId="12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center"/>
    </xf>
    <xf numFmtId="0" fontId="4" fillId="2" borderId="49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/>
    </xf>
    <xf numFmtId="49" fontId="0" fillId="0" borderId="12" xfId="0" applyNumberFormat="1" applyBorder="1" applyAlignment="1">
      <alignment/>
    </xf>
    <xf numFmtId="0" fontId="0" fillId="0" borderId="49" xfId="0" applyBorder="1" applyAlignment="1">
      <alignment horizontal="right"/>
    </xf>
    <xf numFmtId="49" fontId="4" fillId="0" borderId="12" xfId="0" applyNumberFormat="1" applyFont="1" applyBorder="1" applyAlignment="1">
      <alignment/>
    </xf>
    <xf numFmtId="0" fontId="4" fillId="0" borderId="49" xfId="0" applyFont="1" applyBorder="1" applyAlignment="1">
      <alignment horizontal="right"/>
    </xf>
    <xf numFmtId="0" fontId="4" fillId="2" borderId="49" xfId="0" applyFont="1" applyFill="1" applyBorder="1" applyAlignment="1">
      <alignment/>
    </xf>
    <xf numFmtId="0" fontId="4" fillId="0" borderId="49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horizontal="right"/>
    </xf>
    <xf numFmtId="49" fontId="4" fillId="3" borderId="12" xfId="0" applyNumberFormat="1" applyFont="1" applyFill="1" applyBorder="1" applyAlignment="1">
      <alignment/>
    </xf>
    <xf numFmtId="0" fontId="4" fillId="3" borderId="49" xfId="0" applyFont="1" applyFill="1" applyBorder="1" applyAlignment="1">
      <alignment horizontal="right"/>
    </xf>
    <xf numFmtId="0" fontId="0" fillId="0" borderId="49" xfId="0" applyFont="1" applyBorder="1" applyAlignment="1">
      <alignment horizontal="right" wrapText="1"/>
    </xf>
    <xf numFmtId="0" fontId="4" fillId="2" borderId="49" xfId="0" applyFont="1" applyFill="1" applyBorder="1" applyAlignment="1">
      <alignment horizontal="right" wrapText="1"/>
    </xf>
    <xf numFmtId="0" fontId="4" fillId="8" borderId="61" xfId="0" applyFont="1" applyFill="1" applyBorder="1" applyAlignment="1">
      <alignment/>
    </xf>
    <xf numFmtId="0" fontId="10" fillId="5" borderId="50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37" xfId="0" applyFont="1" applyBorder="1" applyAlignment="1">
      <alignment/>
    </xf>
    <xf numFmtId="165" fontId="12" fillId="0" borderId="49" xfId="0" applyNumberFormat="1" applyFont="1" applyBorder="1" applyAlignment="1">
      <alignment/>
    </xf>
    <xf numFmtId="165" fontId="12" fillId="0" borderId="39" xfId="0" applyNumberFormat="1" applyFont="1" applyBorder="1" applyAlignment="1">
      <alignment/>
    </xf>
    <xf numFmtId="0" fontId="12" fillId="0" borderId="13" xfId="0" applyFont="1" applyBorder="1" applyAlignment="1">
      <alignment/>
    </xf>
    <xf numFmtId="165" fontId="10" fillId="0" borderId="49" xfId="0" applyNumberFormat="1" applyFont="1" applyBorder="1" applyAlignment="1">
      <alignment/>
    </xf>
    <xf numFmtId="0" fontId="12" fillId="0" borderId="10" xfId="0" applyFont="1" applyBorder="1" applyAlignment="1">
      <alignment/>
    </xf>
    <xf numFmtId="165" fontId="12" fillId="0" borderId="64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0" fillId="3" borderId="52" xfId="0" applyNumberFormat="1" applyFont="1" applyFill="1" applyBorder="1" applyAlignment="1">
      <alignment/>
    </xf>
    <xf numFmtId="10" fontId="10" fillId="0" borderId="49" xfId="0" applyNumberFormat="1" applyFont="1" applyBorder="1" applyAlignment="1">
      <alignment/>
    </xf>
    <xf numFmtId="0" fontId="10" fillId="0" borderId="61" xfId="0" applyFont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" borderId="0" xfId="0" applyFill="1" applyAlignment="1">
      <alignment wrapText="1"/>
    </xf>
    <xf numFmtId="0" fontId="0" fillId="4" borderId="54" xfId="0" applyFont="1" applyFill="1" applyBorder="1" applyAlignment="1">
      <alignment/>
    </xf>
    <xf numFmtId="0" fontId="4" fillId="4" borderId="65" xfId="0" applyFont="1" applyFill="1" applyBorder="1" applyAlignment="1">
      <alignment/>
    </xf>
    <xf numFmtId="0" fontId="0" fillId="4" borderId="65" xfId="0" applyFont="1" applyFill="1" applyBorder="1" applyAlignment="1">
      <alignment/>
    </xf>
    <xf numFmtId="0" fontId="4" fillId="4" borderId="55" xfId="0" applyFont="1" applyFill="1" applyBorder="1" applyAlignment="1">
      <alignment horizontal="center" wrapText="1"/>
    </xf>
    <xf numFmtId="165" fontId="4" fillId="4" borderId="66" xfId="0" applyNumberFormat="1" applyFont="1" applyFill="1" applyBorder="1" applyAlignment="1">
      <alignment/>
    </xf>
    <xf numFmtId="165" fontId="0" fillId="0" borderId="64" xfId="0" applyNumberFormat="1" applyFont="1" applyBorder="1" applyAlignment="1">
      <alignment/>
    </xf>
    <xf numFmtId="165" fontId="4" fillId="5" borderId="1" xfId="0" applyNumberFormat="1" applyFont="1" applyFill="1" applyBorder="1" applyAlignment="1">
      <alignment/>
    </xf>
    <xf numFmtId="0" fontId="12" fillId="0" borderId="3" xfId="0" applyFont="1" applyBorder="1" applyAlignment="1">
      <alignment wrapText="1"/>
    </xf>
    <xf numFmtId="165" fontId="12" fillId="0" borderId="52" xfId="0" applyNumberFormat="1" applyFont="1" applyBorder="1" applyAlignment="1">
      <alignment/>
    </xf>
    <xf numFmtId="0" fontId="12" fillId="0" borderId="27" xfId="0" applyFont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vertical="center"/>
    </xf>
    <xf numFmtId="3" fontId="12" fillId="7" borderId="22" xfId="0" applyNumberFormat="1" applyFont="1" applyFill="1" applyBorder="1" applyAlignment="1">
      <alignment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vertical="center" wrapText="1"/>
    </xf>
    <xf numFmtId="3" fontId="12" fillId="4" borderId="2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3" fontId="10" fillId="4" borderId="49" xfId="0" applyNumberFormat="1" applyFont="1" applyFill="1" applyBorder="1" applyAlignment="1">
      <alignment/>
    </xf>
    <xf numFmtId="0" fontId="10" fillId="6" borderId="16" xfId="0" applyFont="1" applyFill="1" applyBorder="1" applyAlignment="1">
      <alignment horizontal="center" vertical="center" wrapText="1"/>
    </xf>
    <xf numFmtId="0" fontId="10" fillId="6" borderId="6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>
      <alignment horizontal="left"/>
    </xf>
    <xf numFmtId="49" fontId="9" fillId="0" borderId="34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 wrapText="1"/>
    </xf>
    <xf numFmtId="49" fontId="9" fillId="0" borderId="33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0" fontId="0" fillId="5" borderId="19" xfId="0" applyFont="1" applyFill="1" applyBorder="1" applyAlignment="1">
      <alignment/>
    </xf>
    <xf numFmtId="0" fontId="0" fillId="5" borderId="27" xfId="0" applyFont="1" applyFill="1" applyBorder="1" applyAlignment="1">
      <alignment/>
    </xf>
    <xf numFmtId="49" fontId="0" fillId="5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 wrapText="1"/>
    </xf>
    <xf numFmtId="0" fontId="10" fillId="6" borderId="61" xfId="0" applyFont="1" applyFill="1" applyBorder="1" applyAlignment="1">
      <alignment horizontal="center" vertical="center" wrapText="1"/>
    </xf>
    <xf numFmtId="41" fontId="12" fillId="0" borderId="6" xfId="0" applyNumberFormat="1" applyFont="1" applyBorder="1" applyAlignment="1">
      <alignment horizontal="center" vertical="center"/>
    </xf>
    <xf numFmtId="41" fontId="12" fillId="0" borderId="2" xfId="0" applyNumberFormat="1" applyFont="1" applyBorder="1" applyAlignment="1">
      <alignment horizontal="center" vertical="center"/>
    </xf>
    <xf numFmtId="41" fontId="12" fillId="0" borderId="3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7" borderId="3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7" borderId="30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0" fillId="7" borderId="2" xfId="0" applyFont="1" applyFill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1" fontId="12" fillId="0" borderId="6" xfId="0" applyNumberFormat="1" applyFont="1" applyBorder="1" applyAlignment="1">
      <alignment horizontal="center" vertical="center" wrapText="1"/>
    </xf>
    <xf numFmtId="41" fontId="12" fillId="0" borderId="2" xfId="0" applyNumberFormat="1" applyFont="1" applyBorder="1" applyAlignment="1">
      <alignment horizontal="center" vertical="center" wrapText="1"/>
    </xf>
    <xf numFmtId="41" fontId="12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41" fontId="10" fillId="7" borderId="30" xfId="0" applyNumberFormat="1" applyFont="1" applyFill="1" applyBorder="1" applyAlignment="1">
      <alignment horizontal="center"/>
    </xf>
    <xf numFmtId="41" fontId="10" fillId="7" borderId="33" xfId="0" applyNumberFormat="1" applyFont="1" applyFill="1" applyBorder="1" applyAlignment="1">
      <alignment horizontal="center"/>
    </xf>
    <xf numFmtId="41" fontId="10" fillId="2" borderId="30" xfId="0" applyNumberFormat="1" applyFont="1" applyFill="1" applyBorder="1" applyAlignment="1">
      <alignment horizontal="center"/>
    </xf>
    <xf numFmtId="41" fontId="10" fillId="2" borderId="33" xfId="0" applyNumberFormat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4" fillId="7" borderId="57" xfId="0" applyFont="1" applyFill="1" applyBorder="1" applyAlignment="1">
      <alignment horizontal="center"/>
    </xf>
    <xf numFmtId="0" fontId="4" fillId="7" borderId="67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7" borderId="38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0" fontId="0" fillId="2" borderId="33" xfId="0" applyFont="1" applyFill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2" fillId="0" borderId="0" xfId="0" applyFont="1" applyAlignment="1">
      <alignment horizont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wrapText="1"/>
    </xf>
    <xf numFmtId="0" fontId="4" fillId="8" borderId="21" xfId="0" applyFont="1" applyFill="1" applyBorder="1" applyAlignment="1">
      <alignment wrapText="1"/>
    </xf>
    <xf numFmtId="0" fontId="4" fillId="8" borderId="33" xfId="0" applyFont="1" applyFill="1" applyBorder="1" applyAlignment="1">
      <alignment wrapText="1"/>
    </xf>
    <xf numFmtId="0" fontId="4" fillId="8" borderId="30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left" vertical="center" wrapText="1"/>
    </xf>
    <xf numFmtId="0" fontId="4" fillId="8" borderId="21" xfId="0" applyFont="1" applyFill="1" applyBorder="1" applyAlignment="1">
      <alignment horizontal="left" vertical="center" wrapText="1"/>
    </xf>
    <xf numFmtId="0" fontId="4" fillId="8" borderId="3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4" borderId="31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wrapText="1"/>
    </xf>
    <xf numFmtId="0" fontId="4" fillId="4" borderId="40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4" borderId="56" xfId="0" applyFont="1" applyFill="1" applyBorder="1" applyAlignment="1">
      <alignment horizontal="center" wrapText="1"/>
    </xf>
    <xf numFmtId="0" fontId="4" fillId="4" borderId="29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71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 wrapText="1"/>
    </xf>
    <xf numFmtId="0" fontId="14" fillId="5" borderId="7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8" borderId="5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10" fillId="5" borderId="71" xfId="0" applyFont="1" applyFill="1" applyBorder="1" applyAlignment="1">
      <alignment horizontal="center" wrapText="1"/>
    </xf>
    <xf numFmtId="0" fontId="10" fillId="5" borderId="60" xfId="0" applyFont="1" applyFill="1" applyBorder="1" applyAlignment="1">
      <alignment horizontal="center" wrapText="1"/>
    </xf>
    <xf numFmtId="0" fontId="10" fillId="5" borderId="73" xfId="0" applyFont="1" applyFill="1" applyBorder="1" applyAlignment="1">
      <alignment horizontal="center" wrapText="1"/>
    </xf>
    <xf numFmtId="0" fontId="7" fillId="5" borderId="54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/>
    </xf>
    <xf numFmtId="0" fontId="7" fillId="5" borderId="55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10" fillId="5" borderId="63" xfId="0" applyFont="1" applyFill="1" applyBorder="1" applyAlignment="1">
      <alignment horizontal="center" wrapText="1"/>
    </xf>
    <xf numFmtId="0" fontId="10" fillId="5" borderId="64" xfId="0" applyFont="1" applyFill="1" applyBorder="1" applyAlignment="1">
      <alignment horizontal="center" wrapText="1"/>
    </xf>
    <xf numFmtId="0" fontId="10" fillId="5" borderId="61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8" borderId="7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2" borderId="69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/>
    </xf>
    <xf numFmtId="0" fontId="10" fillId="4" borderId="5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6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7" borderId="48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7" borderId="48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4" fillId="6" borderId="75" xfId="0" applyFont="1" applyFill="1" applyBorder="1" applyAlignment="1" applyProtection="1">
      <alignment horizontal="right" vertical="center"/>
      <protection/>
    </xf>
    <xf numFmtId="0" fontId="7" fillId="6" borderId="76" xfId="0" applyFont="1" applyFill="1" applyBorder="1" applyAlignment="1" applyProtection="1">
      <alignment horizontal="center" vertical="center"/>
      <protection/>
    </xf>
    <xf numFmtId="0" fontId="7" fillId="6" borderId="77" xfId="0" applyFont="1" applyFill="1" applyBorder="1" applyAlignment="1" applyProtection="1">
      <alignment horizontal="center" vertical="center"/>
      <protection/>
    </xf>
    <xf numFmtId="0" fontId="7" fillId="6" borderId="78" xfId="0" applyFont="1" applyFill="1" applyBorder="1" applyAlignment="1" applyProtection="1">
      <alignment horizontal="center" vertical="center"/>
      <protection/>
    </xf>
    <xf numFmtId="0" fontId="7" fillId="6" borderId="79" xfId="0" applyFont="1" applyFill="1" applyBorder="1" applyAlignment="1" applyProtection="1">
      <alignment horizontal="center" vertical="center"/>
      <protection/>
    </xf>
    <xf numFmtId="0" fontId="7" fillId="6" borderId="76" xfId="0" applyFont="1" applyFill="1" applyBorder="1" applyAlignment="1" applyProtection="1">
      <alignment horizontal="center" vertical="center" wrapText="1"/>
      <protection/>
    </xf>
    <xf numFmtId="0" fontId="7" fillId="6" borderId="77" xfId="0" applyFont="1" applyFill="1" applyBorder="1" applyAlignment="1" applyProtection="1">
      <alignment horizontal="center" vertical="center" wrapText="1"/>
      <protection/>
    </xf>
    <xf numFmtId="0" fontId="7" fillId="6" borderId="80" xfId="0" applyFont="1" applyFill="1" applyBorder="1" applyAlignment="1" applyProtection="1">
      <alignment horizontal="center" vertical="center" wrapText="1"/>
      <protection/>
    </xf>
    <xf numFmtId="0" fontId="4" fillId="6" borderId="81" xfId="0" applyFont="1" applyFill="1" applyBorder="1" applyAlignment="1" applyProtection="1">
      <alignment horizontal="right" vertical="center"/>
      <protection/>
    </xf>
    <xf numFmtId="0" fontId="7" fillId="6" borderId="2" xfId="0" applyFont="1" applyFill="1" applyBorder="1" applyAlignment="1" applyProtection="1">
      <alignment horizontal="center" vertical="center"/>
      <protection/>
    </xf>
    <xf numFmtId="0" fontId="7" fillId="6" borderId="36" xfId="0" applyFont="1" applyFill="1" applyBorder="1" applyAlignment="1" applyProtection="1">
      <alignment horizontal="center" vertical="center"/>
      <protection/>
    </xf>
    <xf numFmtId="0" fontId="7" fillId="6" borderId="0" xfId="0" applyFont="1" applyFill="1" applyBorder="1" applyAlignment="1" applyProtection="1">
      <alignment horizontal="center" vertical="center"/>
      <protection/>
    </xf>
    <xf numFmtId="0" fontId="7" fillId="6" borderId="47" xfId="0" applyFont="1" applyFill="1" applyBorder="1" applyAlignment="1" applyProtection="1">
      <alignment horizontal="center" vertical="center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7" fillId="6" borderId="36" xfId="0" applyFont="1" applyFill="1" applyBorder="1" applyAlignment="1" applyProtection="1">
      <alignment horizontal="center" vertical="center" wrapText="1"/>
      <protection/>
    </xf>
    <xf numFmtId="0" fontId="7" fillId="6" borderId="82" xfId="0" applyFont="1" applyFill="1" applyBorder="1" applyAlignment="1" applyProtection="1">
      <alignment horizontal="center" vertical="center" wrapText="1"/>
      <protection/>
    </xf>
    <xf numFmtId="0" fontId="7" fillId="6" borderId="3" xfId="0" applyFont="1" applyFill="1" applyBorder="1" applyAlignment="1" applyProtection="1">
      <alignment horizontal="center" vertical="center"/>
      <protection/>
    </xf>
    <xf numFmtId="0" fontId="7" fillId="6" borderId="11" xfId="0" applyFont="1" applyFill="1" applyBorder="1" applyAlignment="1" applyProtection="1">
      <alignment horizontal="center" vertical="center"/>
      <protection/>
    </xf>
    <xf numFmtId="0" fontId="7" fillId="6" borderId="19" xfId="0" applyFont="1" applyFill="1" applyBorder="1" applyAlignment="1" applyProtection="1">
      <alignment horizontal="center" vertical="center"/>
      <protection/>
    </xf>
    <xf numFmtId="0" fontId="7" fillId="6" borderId="27" xfId="0" applyFont="1" applyFill="1" applyBorder="1" applyAlignment="1" applyProtection="1">
      <alignment horizontal="center" vertical="center"/>
      <protection/>
    </xf>
    <xf numFmtId="0" fontId="7" fillId="6" borderId="11" xfId="0" applyFont="1" applyFill="1" applyBorder="1" applyAlignment="1" applyProtection="1">
      <alignment horizontal="center" vertical="center" wrapText="1"/>
      <protection/>
    </xf>
    <xf numFmtId="0" fontId="7" fillId="6" borderId="83" xfId="0" applyFont="1" applyFill="1" applyBorder="1" applyAlignment="1" applyProtection="1">
      <alignment horizontal="center" vertical="center" wrapText="1"/>
      <protection/>
    </xf>
    <xf numFmtId="0" fontId="4" fillId="6" borderId="84" xfId="0" applyFont="1" applyFill="1" applyBorder="1" applyAlignment="1" applyProtection="1">
      <alignment horizontal="right" vertical="center"/>
      <protection/>
    </xf>
    <xf numFmtId="0" fontId="7" fillId="6" borderId="33" xfId="0" applyFont="1" applyFill="1" applyBorder="1" applyAlignment="1" applyProtection="1">
      <alignment horizontal="center" vertical="center"/>
      <protection/>
    </xf>
    <xf numFmtId="0" fontId="7" fillId="6" borderId="1" xfId="0" applyFont="1" applyFill="1" applyBorder="1" applyAlignment="1" applyProtection="1">
      <alignment horizontal="center" vertical="center"/>
      <protection/>
    </xf>
    <xf numFmtId="0" fontId="7" fillId="6" borderId="1" xfId="0" applyFont="1" applyFill="1" applyBorder="1" applyAlignment="1" applyProtection="1">
      <alignment horizontal="left" vertical="center"/>
      <protection/>
    </xf>
    <xf numFmtId="0" fontId="7" fillId="6" borderId="3" xfId="0" applyFont="1" applyFill="1" applyBorder="1" applyAlignment="1" applyProtection="1">
      <alignment horizontal="center" vertical="center" wrapText="1"/>
      <protection/>
    </xf>
    <xf numFmtId="0" fontId="7" fillId="6" borderId="1" xfId="0" applyFont="1" applyFill="1" applyBorder="1" applyAlignment="1" applyProtection="1">
      <alignment horizontal="center" vertical="center" wrapText="1"/>
      <protection/>
    </xf>
    <xf numFmtId="0" fontId="7" fillId="6" borderId="85" xfId="0" applyFont="1" applyFill="1" applyBorder="1" applyAlignment="1" applyProtection="1">
      <alignment vertical="center" wrapText="1"/>
      <protection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/>
    </xf>
    <xf numFmtId="0" fontId="10" fillId="6" borderId="71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/>
    </xf>
    <xf numFmtId="0" fontId="10" fillId="6" borderId="68" xfId="0" applyFont="1" applyFill="1" applyBorder="1" applyAlignment="1">
      <alignment horizontal="center" vertical="center"/>
    </xf>
    <xf numFmtId="0" fontId="10" fillId="6" borderId="50" xfId="0" applyFont="1" applyFill="1" applyBorder="1" applyAlignment="1">
      <alignment horizontal="center" vertical="center"/>
    </xf>
    <xf numFmtId="0" fontId="10" fillId="6" borderId="69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 wrapText="1"/>
    </xf>
    <xf numFmtId="0" fontId="14" fillId="6" borderId="70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4" fillId="4" borderId="8" xfId="0" applyFont="1" applyFill="1" applyBorder="1" applyAlignment="1">
      <alignment horizontal="center" wrapText="1"/>
    </xf>
    <xf numFmtId="165" fontId="4" fillId="4" borderId="3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6"/>
  <sheetViews>
    <sheetView view="pageBreakPreview" zoomScaleSheetLayoutView="100" workbookViewId="0" topLeftCell="A2">
      <selection activeCell="C16" sqref="C16"/>
    </sheetView>
  </sheetViews>
  <sheetFormatPr defaultColWidth="9.00390625" defaultRowHeight="12.75"/>
  <cols>
    <col min="1" max="1" width="3.75390625" style="69" customWidth="1"/>
    <col min="2" max="2" width="25.375" style="0" customWidth="1"/>
    <col min="3" max="3" width="6.00390625" style="0" customWidth="1"/>
    <col min="4" max="4" width="7.25390625" style="0" customWidth="1"/>
    <col min="5" max="5" width="5.25390625" style="0" customWidth="1"/>
    <col min="6" max="6" width="13.375" style="0" customWidth="1"/>
    <col min="7" max="7" width="12.375" style="0" customWidth="1"/>
    <col min="8" max="8" width="9.00390625" style="0" customWidth="1"/>
    <col min="9" max="9" width="8.125" style="0" customWidth="1"/>
    <col min="10" max="10" width="9.75390625" style="0" customWidth="1"/>
  </cols>
  <sheetData>
    <row r="1" ht="12.75" hidden="1"/>
    <row r="2" spans="1:10" s="158" customFormat="1" ht="12.75" customHeight="1">
      <c r="A2" s="161"/>
      <c r="E2" s="651" t="s">
        <v>929</v>
      </c>
      <c r="F2" s="652"/>
      <c r="G2" s="652"/>
      <c r="H2" s="652"/>
      <c r="I2" s="652"/>
      <c r="J2" s="652"/>
    </row>
    <row r="3" spans="1:10" s="158" customFormat="1" ht="12.75" customHeight="1">
      <c r="A3" s="161"/>
      <c r="E3" s="652"/>
      <c r="F3" s="652"/>
      <c r="G3" s="652"/>
      <c r="H3" s="652"/>
      <c r="I3" s="652"/>
      <c r="J3" s="652"/>
    </row>
    <row r="4" spans="1:10" s="158" customFormat="1" ht="6.75" customHeight="1">
      <c r="A4" s="161"/>
      <c r="E4" s="652"/>
      <c r="F4" s="652"/>
      <c r="G4" s="652"/>
      <c r="H4" s="652"/>
      <c r="I4" s="652"/>
      <c r="J4" s="652"/>
    </row>
    <row r="5" s="158" customFormat="1" ht="21.75" customHeight="1" hidden="1">
      <c r="A5" s="161"/>
    </row>
    <row r="6" spans="1:10" s="158" customFormat="1" ht="1.5" customHeight="1" hidden="1">
      <c r="A6" s="640" t="s">
        <v>470</v>
      </c>
      <c r="B6" s="640"/>
      <c r="C6" s="640"/>
      <c r="D6" s="640"/>
      <c r="E6" s="640"/>
      <c r="F6" s="640"/>
      <c r="G6" s="640"/>
      <c r="H6" s="640"/>
      <c r="I6" s="640"/>
      <c r="J6" s="640"/>
    </row>
    <row r="7" spans="1:10" s="158" customFormat="1" ht="9.75" customHeight="1" hidden="1">
      <c r="A7" s="640"/>
      <c r="B7" s="640"/>
      <c r="C7" s="640"/>
      <c r="D7" s="640"/>
      <c r="E7" s="640"/>
      <c r="F7" s="640"/>
      <c r="G7" s="640"/>
      <c r="H7" s="640"/>
      <c r="I7" s="640"/>
      <c r="J7" s="640"/>
    </row>
    <row r="8" spans="1:10" s="158" customFormat="1" ht="0.75" customHeight="1" hidden="1">
      <c r="A8" s="640"/>
      <c r="B8" s="640"/>
      <c r="C8" s="640"/>
      <c r="D8" s="640"/>
      <c r="E8" s="640"/>
      <c r="F8" s="640"/>
      <c r="G8" s="640"/>
      <c r="H8" s="640"/>
      <c r="I8" s="640"/>
      <c r="J8" s="640"/>
    </row>
    <row r="9" spans="1:10" s="158" customFormat="1" ht="9.75" customHeight="1" hidden="1">
      <c r="A9" s="640"/>
      <c r="B9" s="640"/>
      <c r="C9" s="640"/>
      <c r="D9" s="640"/>
      <c r="E9" s="640"/>
      <c r="F9" s="640"/>
      <c r="G9" s="640"/>
      <c r="H9" s="640"/>
      <c r="I9" s="640"/>
      <c r="J9" s="640"/>
    </row>
    <row r="10" spans="1:10" s="158" customFormat="1" ht="24" customHeight="1">
      <c r="A10" s="640"/>
      <c r="B10" s="640"/>
      <c r="C10" s="640"/>
      <c r="D10" s="640"/>
      <c r="E10" s="640"/>
      <c r="F10" s="640"/>
      <c r="G10" s="640"/>
      <c r="H10" s="640"/>
      <c r="I10" s="640"/>
      <c r="J10" s="640"/>
    </row>
    <row r="11" spans="1:10" s="158" customFormat="1" ht="8.25" customHeight="1" thickBot="1">
      <c r="A11" s="640"/>
      <c r="B11" s="640"/>
      <c r="C11" s="640"/>
      <c r="D11" s="640"/>
      <c r="E11" s="640"/>
      <c r="F11" s="640"/>
      <c r="G11" s="640"/>
      <c r="H11" s="640"/>
      <c r="I11" s="640"/>
      <c r="J11" s="640"/>
    </row>
    <row r="12" spans="1:10" s="158" customFormat="1" ht="13.5" customHeight="1" thickTop="1">
      <c r="A12" s="868" t="s">
        <v>482</v>
      </c>
      <c r="B12" s="869" t="s">
        <v>903</v>
      </c>
      <c r="C12" s="870" t="s">
        <v>411</v>
      </c>
      <c r="D12" s="871"/>
      <c r="E12" s="872"/>
      <c r="F12" s="873" t="s">
        <v>651</v>
      </c>
      <c r="G12" s="873" t="s">
        <v>652</v>
      </c>
      <c r="H12" s="873" t="s">
        <v>600</v>
      </c>
      <c r="I12" s="874" t="s">
        <v>601</v>
      </c>
      <c r="J12" s="875"/>
    </row>
    <row r="13" spans="1:10" s="158" customFormat="1" ht="18.75" customHeight="1">
      <c r="A13" s="876"/>
      <c r="B13" s="877"/>
      <c r="C13" s="878"/>
      <c r="D13" s="879"/>
      <c r="E13" s="880"/>
      <c r="F13" s="881"/>
      <c r="G13" s="881"/>
      <c r="H13" s="881"/>
      <c r="I13" s="882"/>
      <c r="J13" s="883"/>
    </row>
    <row r="14" spans="1:10" s="158" customFormat="1" ht="7.5" customHeight="1">
      <c r="A14" s="876"/>
      <c r="B14" s="884"/>
      <c r="C14" s="885"/>
      <c r="D14" s="886"/>
      <c r="E14" s="887"/>
      <c r="F14" s="881"/>
      <c r="G14" s="881"/>
      <c r="H14" s="881"/>
      <c r="I14" s="888"/>
      <c r="J14" s="889"/>
    </row>
    <row r="15" spans="1:10" s="158" customFormat="1" ht="19.5" customHeight="1" thickBot="1">
      <c r="A15" s="890"/>
      <c r="B15" s="891" t="s">
        <v>596</v>
      </c>
      <c r="C15" s="892" t="s">
        <v>597</v>
      </c>
      <c r="D15" s="893" t="s">
        <v>416</v>
      </c>
      <c r="E15" s="892" t="s">
        <v>905</v>
      </c>
      <c r="F15" s="894"/>
      <c r="G15" s="894"/>
      <c r="H15" s="894"/>
      <c r="I15" s="895" t="s">
        <v>459</v>
      </c>
      <c r="J15" s="896" t="s">
        <v>460</v>
      </c>
    </row>
    <row r="16" spans="1:10" s="159" customFormat="1" ht="13.5" thickBot="1">
      <c r="A16" s="313">
        <v>1</v>
      </c>
      <c r="B16" s="251">
        <v>2</v>
      </c>
      <c r="C16" s="251">
        <v>3</v>
      </c>
      <c r="D16" s="251">
        <v>4</v>
      </c>
      <c r="E16" s="251">
        <v>5</v>
      </c>
      <c r="F16" s="252">
        <v>6</v>
      </c>
      <c r="G16" s="251">
        <v>7</v>
      </c>
      <c r="H16" s="253">
        <v>8</v>
      </c>
      <c r="I16" s="253">
        <v>9</v>
      </c>
      <c r="J16" s="314">
        <v>10</v>
      </c>
    </row>
    <row r="17" spans="1:10" s="29" customFormat="1" ht="19.5" customHeight="1">
      <c r="A17" s="217" t="s">
        <v>493</v>
      </c>
      <c r="B17" s="228" t="s">
        <v>598</v>
      </c>
      <c r="C17" s="229" t="s">
        <v>906</v>
      </c>
      <c r="D17" s="230"/>
      <c r="E17" s="231"/>
      <c r="F17" s="260">
        <f>F18+F20+F22+F24</f>
        <v>113922</v>
      </c>
      <c r="G17" s="260">
        <f>G18+G20+G22+G24</f>
        <v>56400</v>
      </c>
      <c r="H17" s="261">
        <f>G17/F17*100</f>
        <v>49.50755780270711</v>
      </c>
      <c r="I17" s="262">
        <f>F17/$F$193</f>
        <v>0.0032414506887463853</v>
      </c>
      <c r="J17" s="262">
        <f aca="true" t="shared" si="0" ref="J17:J80">G17/$G$193</f>
        <v>0.0016476722291477366</v>
      </c>
    </row>
    <row r="18" spans="1:10" ht="32.25" customHeight="1">
      <c r="A18" s="290" t="s">
        <v>599</v>
      </c>
      <c r="B18" s="289" t="s">
        <v>422</v>
      </c>
      <c r="C18" s="246"/>
      <c r="D18" s="257" t="s">
        <v>24</v>
      </c>
      <c r="E18" s="223"/>
      <c r="F18" s="301">
        <f>F19</f>
        <v>30000</v>
      </c>
      <c r="G18" s="301">
        <f>G19</f>
        <v>56000</v>
      </c>
      <c r="H18" s="291">
        <f aca="true" t="shared" si="1" ref="H18:H81">G18/F18*100</f>
        <v>186.66666666666666</v>
      </c>
      <c r="I18" s="292">
        <f aca="true" t="shared" si="2" ref="I18:I81">F18/$F$193</f>
        <v>0.000853597379456045</v>
      </c>
      <c r="J18" s="292">
        <f t="shared" si="0"/>
        <v>0.0016359866105012987</v>
      </c>
    </row>
    <row r="19" spans="1:10" ht="21.75" customHeight="1">
      <c r="A19" s="218"/>
      <c r="B19" s="129" t="s">
        <v>615</v>
      </c>
      <c r="C19" s="18"/>
      <c r="D19" s="18"/>
      <c r="E19" s="232">
        <v>2110</v>
      </c>
      <c r="F19" s="268">
        <v>30000</v>
      </c>
      <c r="G19" s="268">
        <v>56000</v>
      </c>
      <c r="H19" s="168">
        <f t="shared" si="1"/>
        <v>186.66666666666666</v>
      </c>
      <c r="I19" s="302">
        <f t="shared" si="2"/>
        <v>0.000853597379456045</v>
      </c>
      <c r="J19" s="302">
        <f t="shared" si="0"/>
        <v>0.0016359866105012987</v>
      </c>
    </row>
    <row r="20" spans="1:10" ht="24" customHeight="1">
      <c r="A20" s="290" t="s">
        <v>604</v>
      </c>
      <c r="B20" s="223" t="s">
        <v>616</v>
      </c>
      <c r="C20" s="257"/>
      <c r="D20" s="257" t="s">
        <v>621</v>
      </c>
      <c r="E20" s="246"/>
      <c r="F20" s="270">
        <f>F21</f>
        <v>25851</v>
      </c>
      <c r="G20" s="270">
        <f>G21</f>
        <v>0</v>
      </c>
      <c r="H20" s="291">
        <f t="shared" si="1"/>
        <v>0</v>
      </c>
      <c r="I20" s="292">
        <f t="shared" si="2"/>
        <v>0.0007355448618772741</v>
      </c>
      <c r="J20" s="292">
        <f t="shared" si="0"/>
        <v>0</v>
      </c>
    </row>
    <row r="21" spans="1:10" ht="42.75" customHeight="1">
      <c r="A21" s="218"/>
      <c r="B21" s="129" t="s">
        <v>617</v>
      </c>
      <c r="C21" s="18"/>
      <c r="D21" s="18"/>
      <c r="E21" s="232">
        <v>2700</v>
      </c>
      <c r="F21" s="268">
        <v>25851</v>
      </c>
      <c r="G21" s="268">
        <v>0</v>
      </c>
      <c r="H21" s="168">
        <f t="shared" si="1"/>
        <v>0</v>
      </c>
      <c r="I21" s="302">
        <f t="shared" si="2"/>
        <v>0.0007355448618772741</v>
      </c>
      <c r="J21" s="302">
        <f t="shared" si="0"/>
        <v>0</v>
      </c>
    </row>
    <row r="22" spans="1:10" ht="25.5" customHeight="1">
      <c r="A22" s="290" t="s">
        <v>670</v>
      </c>
      <c r="B22" s="223" t="s">
        <v>618</v>
      </c>
      <c r="C22" s="257"/>
      <c r="D22" s="257" t="s">
        <v>622</v>
      </c>
      <c r="E22" s="246"/>
      <c r="F22" s="270">
        <f>F23</f>
        <v>57651</v>
      </c>
      <c r="G22" s="270">
        <f>G23</f>
        <v>0</v>
      </c>
      <c r="H22" s="291">
        <f t="shared" si="1"/>
        <v>0</v>
      </c>
      <c r="I22" s="292">
        <f t="shared" si="2"/>
        <v>0.001640358084100682</v>
      </c>
      <c r="J22" s="292">
        <f t="shared" si="0"/>
        <v>0</v>
      </c>
    </row>
    <row r="23" spans="1:10" ht="21.75" customHeight="1">
      <c r="A23" s="218"/>
      <c r="B23" s="129" t="s">
        <v>619</v>
      </c>
      <c r="C23" s="18"/>
      <c r="D23" s="18"/>
      <c r="E23" s="232">
        <v>6260</v>
      </c>
      <c r="F23" s="268">
        <v>57651</v>
      </c>
      <c r="G23" s="268">
        <v>0</v>
      </c>
      <c r="H23" s="168">
        <f t="shared" si="1"/>
        <v>0</v>
      </c>
      <c r="I23" s="302">
        <f t="shared" si="2"/>
        <v>0.001640358084100682</v>
      </c>
      <c r="J23" s="302">
        <f t="shared" si="0"/>
        <v>0</v>
      </c>
    </row>
    <row r="24" spans="1:10" ht="23.25" customHeight="1">
      <c r="A24" s="290" t="s">
        <v>672</v>
      </c>
      <c r="B24" s="223" t="s">
        <v>72</v>
      </c>
      <c r="C24" s="257"/>
      <c r="D24" s="257" t="s">
        <v>605</v>
      </c>
      <c r="E24" s="257"/>
      <c r="F24" s="277">
        <f>F25</f>
        <v>420</v>
      </c>
      <c r="G24" s="277">
        <f>G25</f>
        <v>400</v>
      </c>
      <c r="H24" s="291">
        <f t="shared" si="1"/>
        <v>95.23809523809523</v>
      </c>
      <c r="I24" s="292">
        <f t="shared" si="2"/>
        <v>1.1950363312384632E-05</v>
      </c>
      <c r="J24" s="292">
        <f t="shared" si="0"/>
        <v>1.1685618646437849E-05</v>
      </c>
    </row>
    <row r="25" spans="1:10" ht="18" customHeight="1">
      <c r="A25" s="123"/>
      <c r="B25" s="129" t="s">
        <v>606</v>
      </c>
      <c r="C25" s="18"/>
      <c r="D25" s="18"/>
      <c r="E25" s="233" t="s">
        <v>804</v>
      </c>
      <c r="F25" s="268">
        <v>420</v>
      </c>
      <c r="G25" s="268">
        <v>400</v>
      </c>
      <c r="H25" s="168">
        <f t="shared" si="1"/>
        <v>95.23809523809523</v>
      </c>
      <c r="I25" s="302">
        <f t="shared" si="2"/>
        <v>1.1950363312384632E-05</v>
      </c>
      <c r="J25" s="302">
        <f t="shared" si="0"/>
        <v>1.1685618646437849E-05</v>
      </c>
    </row>
    <row r="26" spans="1:10" ht="16.5" customHeight="1">
      <c r="A26" s="219" t="s">
        <v>494</v>
      </c>
      <c r="B26" s="215" t="s">
        <v>677</v>
      </c>
      <c r="C26" s="234" t="s">
        <v>25</v>
      </c>
      <c r="D26" s="234"/>
      <c r="E26" s="235"/>
      <c r="F26" s="255">
        <f>F27</f>
        <v>141159</v>
      </c>
      <c r="G26" s="255">
        <f>G27</f>
        <v>142159</v>
      </c>
      <c r="H26" s="261">
        <f t="shared" si="1"/>
        <v>100.70842100043214</v>
      </c>
      <c r="I26" s="262">
        <f t="shared" si="2"/>
        <v>0.004016431749554529</v>
      </c>
      <c r="J26" s="262">
        <f t="shared" si="0"/>
        <v>0.004153039652897395</v>
      </c>
    </row>
    <row r="27" spans="1:10" ht="24" customHeight="1">
      <c r="A27" s="290" t="s">
        <v>599</v>
      </c>
      <c r="B27" s="223" t="s">
        <v>762</v>
      </c>
      <c r="C27" s="257"/>
      <c r="D27" s="257" t="s">
        <v>763</v>
      </c>
      <c r="E27" s="257"/>
      <c r="F27" s="270">
        <f>F28</f>
        <v>141159</v>
      </c>
      <c r="G27" s="270">
        <f>G28</f>
        <v>142159</v>
      </c>
      <c r="H27" s="291">
        <f t="shared" si="1"/>
        <v>100.70842100043214</v>
      </c>
      <c r="I27" s="292">
        <f t="shared" si="2"/>
        <v>0.004016431749554529</v>
      </c>
      <c r="J27" s="292">
        <f t="shared" si="0"/>
        <v>0.004153039652897395</v>
      </c>
    </row>
    <row r="28" spans="1:10" ht="22.5" customHeight="1">
      <c r="A28" s="220"/>
      <c r="B28" s="209" t="s">
        <v>430</v>
      </c>
      <c r="C28" s="236"/>
      <c r="D28" s="236"/>
      <c r="E28" s="237" t="s">
        <v>811</v>
      </c>
      <c r="F28" s="211">
        <v>141159</v>
      </c>
      <c r="G28" s="210">
        <v>142159</v>
      </c>
      <c r="H28" s="168">
        <f t="shared" si="1"/>
        <v>100.70842100043214</v>
      </c>
      <c r="I28" s="302">
        <f t="shared" si="2"/>
        <v>0.004016431749554529</v>
      </c>
      <c r="J28" s="302">
        <f t="shared" si="0"/>
        <v>0.004153039652897395</v>
      </c>
    </row>
    <row r="29" spans="1:10" ht="17.25" customHeight="1">
      <c r="A29" s="219" t="s">
        <v>496</v>
      </c>
      <c r="B29" s="215" t="s">
        <v>607</v>
      </c>
      <c r="C29" s="234" t="s">
        <v>29</v>
      </c>
      <c r="D29" s="234"/>
      <c r="E29" s="235"/>
      <c r="F29" s="265">
        <f>F30</f>
        <v>4555948</v>
      </c>
      <c r="G29" s="265">
        <f>G30</f>
        <v>2049119</v>
      </c>
      <c r="H29" s="261">
        <f t="shared" si="1"/>
        <v>44.976786390011476</v>
      </c>
      <c r="I29" s="262">
        <f t="shared" si="2"/>
        <v>0.1296315091246003</v>
      </c>
      <c r="J29" s="262">
        <f t="shared" si="0"/>
        <v>0.05986305798792519</v>
      </c>
    </row>
    <row r="30" spans="1:10" ht="18" customHeight="1">
      <c r="A30" s="290" t="s">
        <v>599</v>
      </c>
      <c r="B30" s="223" t="s">
        <v>880</v>
      </c>
      <c r="C30" s="257"/>
      <c r="D30" s="257" t="s">
        <v>31</v>
      </c>
      <c r="E30" s="257"/>
      <c r="F30" s="270">
        <f>F33+F34+F35+F36+F37+F38+F39</f>
        <v>4555948</v>
      </c>
      <c r="G30" s="270">
        <f>G33+G34+G35+G36+G37+G38+G39</f>
        <v>2049119</v>
      </c>
      <c r="H30" s="291">
        <f t="shared" si="1"/>
        <v>44.976786390011476</v>
      </c>
      <c r="I30" s="292">
        <f t="shared" si="2"/>
        <v>0.1296315091246003</v>
      </c>
      <c r="J30" s="292">
        <f t="shared" si="0"/>
        <v>0.05986305798792519</v>
      </c>
    </row>
    <row r="31" spans="1:10" ht="0.75" customHeight="1" hidden="1">
      <c r="A31" s="123"/>
      <c r="B31" s="129" t="s">
        <v>502</v>
      </c>
      <c r="C31" s="238"/>
      <c r="D31" s="238"/>
      <c r="E31" s="233" t="s">
        <v>501</v>
      </c>
      <c r="F31" s="104">
        <v>0</v>
      </c>
      <c r="G31" s="6">
        <v>0</v>
      </c>
      <c r="H31" s="261" t="e">
        <f t="shared" si="1"/>
        <v>#DIV/0!</v>
      </c>
      <c r="I31" s="262">
        <f t="shared" si="2"/>
        <v>0</v>
      </c>
      <c r="J31" s="262">
        <f t="shared" si="0"/>
        <v>0</v>
      </c>
    </row>
    <row r="32" spans="1:10" ht="12.75" customHeight="1" hidden="1">
      <c r="A32" s="123"/>
      <c r="B32" s="129" t="s">
        <v>606</v>
      </c>
      <c r="C32" s="238"/>
      <c r="D32" s="238"/>
      <c r="E32" s="233" t="s">
        <v>804</v>
      </c>
      <c r="F32" s="104">
        <v>0</v>
      </c>
      <c r="G32" s="6"/>
      <c r="H32" s="261" t="e">
        <f t="shared" si="1"/>
        <v>#DIV/0!</v>
      </c>
      <c r="I32" s="262">
        <f t="shared" si="2"/>
        <v>0</v>
      </c>
      <c r="J32" s="262">
        <f t="shared" si="0"/>
        <v>0</v>
      </c>
    </row>
    <row r="33" spans="1:10" ht="22.5" customHeight="1">
      <c r="A33" s="123"/>
      <c r="B33" s="129" t="s">
        <v>608</v>
      </c>
      <c r="C33" s="18"/>
      <c r="D33" s="18"/>
      <c r="E33" s="233" t="s">
        <v>805</v>
      </c>
      <c r="F33" s="211">
        <v>5500</v>
      </c>
      <c r="G33" s="211">
        <v>6200</v>
      </c>
      <c r="H33" s="168">
        <f t="shared" si="1"/>
        <v>112.72727272727272</v>
      </c>
      <c r="I33" s="302">
        <f t="shared" si="2"/>
        <v>0.00015649285290027492</v>
      </c>
      <c r="J33" s="302">
        <f t="shared" si="0"/>
        <v>0.00018112708901978663</v>
      </c>
    </row>
    <row r="34" spans="1:10" ht="16.5" customHeight="1">
      <c r="A34" s="123"/>
      <c r="B34" s="129" t="s">
        <v>370</v>
      </c>
      <c r="C34" s="18"/>
      <c r="D34" s="18"/>
      <c r="E34" s="233" t="s">
        <v>369</v>
      </c>
      <c r="F34" s="268">
        <v>5572</v>
      </c>
      <c r="G34" s="268">
        <v>0</v>
      </c>
      <c r="H34" s="168">
        <f t="shared" si="1"/>
        <v>0</v>
      </c>
      <c r="I34" s="302">
        <f t="shared" si="2"/>
        <v>0.00015854148661096943</v>
      </c>
      <c r="J34" s="302">
        <f t="shared" si="0"/>
        <v>0</v>
      </c>
    </row>
    <row r="35" spans="1:10" ht="15.75" customHeight="1">
      <c r="A35" s="123"/>
      <c r="B35" s="129" t="s">
        <v>603</v>
      </c>
      <c r="C35" s="18"/>
      <c r="D35" s="18"/>
      <c r="E35" s="233" t="s">
        <v>803</v>
      </c>
      <c r="F35" s="268">
        <v>192</v>
      </c>
      <c r="G35" s="268">
        <v>100</v>
      </c>
      <c r="H35" s="168">
        <f t="shared" si="1"/>
        <v>52.083333333333336</v>
      </c>
      <c r="I35" s="302">
        <f t="shared" si="2"/>
        <v>5.463023228518688E-06</v>
      </c>
      <c r="J35" s="302">
        <f t="shared" si="0"/>
        <v>2.921404661609462E-06</v>
      </c>
    </row>
    <row r="36" spans="1:10" ht="20.25" customHeight="1">
      <c r="A36" s="218"/>
      <c r="B36" s="216" t="s">
        <v>868</v>
      </c>
      <c r="C36" s="24"/>
      <c r="D36" s="24"/>
      <c r="E36" s="233" t="s">
        <v>506</v>
      </c>
      <c r="F36" s="211">
        <v>3899087</v>
      </c>
      <c r="G36" s="210">
        <v>1674546</v>
      </c>
      <c r="H36" s="168">
        <f t="shared" si="1"/>
        <v>42.9471309565547</v>
      </c>
      <c r="I36" s="302">
        <f t="shared" si="2"/>
        <v>0.11094168151570441</v>
      </c>
      <c r="J36" s="302">
        <f t="shared" si="0"/>
        <v>0.04892026490479478</v>
      </c>
    </row>
    <row r="37" spans="1:10" ht="21" customHeight="1">
      <c r="A37" s="218"/>
      <c r="B37" s="216" t="s">
        <v>869</v>
      </c>
      <c r="C37" s="24"/>
      <c r="D37" s="24"/>
      <c r="E37" s="233" t="s">
        <v>751</v>
      </c>
      <c r="F37" s="211">
        <v>500597</v>
      </c>
      <c r="G37" s="210">
        <v>223273</v>
      </c>
      <c r="H37" s="168">
        <f t="shared" si="1"/>
        <v>44.6013459928845</v>
      </c>
      <c r="I37" s="302">
        <f t="shared" si="2"/>
        <v>0.01424360957878526</v>
      </c>
      <c r="J37" s="302">
        <f t="shared" si="0"/>
        <v>0.006522707830115294</v>
      </c>
    </row>
    <row r="38" spans="1:10" ht="21" customHeight="1">
      <c r="A38" s="221"/>
      <c r="B38" s="129" t="s">
        <v>620</v>
      </c>
      <c r="C38" s="8"/>
      <c r="D38" s="40"/>
      <c r="E38" s="232">
        <v>6610</v>
      </c>
      <c r="F38" s="211">
        <v>75000</v>
      </c>
      <c r="G38" s="210">
        <v>145000</v>
      </c>
      <c r="H38" s="168">
        <f t="shared" si="1"/>
        <v>193.33333333333334</v>
      </c>
      <c r="I38" s="302">
        <f t="shared" si="2"/>
        <v>0.0021339934486401127</v>
      </c>
      <c r="J38" s="302">
        <f t="shared" si="0"/>
        <v>0.0042360367593337195</v>
      </c>
    </row>
    <row r="39" spans="1:10" ht="21.75" customHeight="1">
      <c r="A39" s="221"/>
      <c r="B39" s="129" t="s">
        <v>620</v>
      </c>
      <c r="C39" s="8"/>
      <c r="D39" s="40"/>
      <c r="E39" s="232">
        <v>6619</v>
      </c>
      <c r="F39" s="211">
        <v>70000</v>
      </c>
      <c r="G39" s="211">
        <v>0</v>
      </c>
      <c r="H39" s="168">
        <f t="shared" si="1"/>
        <v>0</v>
      </c>
      <c r="I39" s="302">
        <f t="shared" si="2"/>
        <v>0.0019917272187307718</v>
      </c>
      <c r="J39" s="302">
        <f t="shared" si="0"/>
        <v>0</v>
      </c>
    </row>
    <row r="40" spans="1:10" ht="24" customHeight="1">
      <c r="A40" s="219" t="s">
        <v>498</v>
      </c>
      <c r="B40" s="215" t="s">
        <v>610</v>
      </c>
      <c r="C40" s="234" t="s">
        <v>43</v>
      </c>
      <c r="D40" s="239"/>
      <c r="E40" s="240"/>
      <c r="F40" s="255">
        <f>F41</f>
        <v>999306</v>
      </c>
      <c r="G40" s="255">
        <f>G41</f>
        <v>1389640</v>
      </c>
      <c r="H40" s="261">
        <f t="shared" si="1"/>
        <v>139.06050799254683</v>
      </c>
      <c r="I40" s="262">
        <f t="shared" si="2"/>
        <v>0.028433499429156753</v>
      </c>
      <c r="J40" s="262">
        <f t="shared" si="0"/>
        <v>0.04059700773958973</v>
      </c>
    </row>
    <row r="41" spans="1:10" ht="22.5" customHeight="1">
      <c r="A41" s="290" t="s">
        <v>599</v>
      </c>
      <c r="B41" s="223" t="s">
        <v>611</v>
      </c>
      <c r="C41" s="257"/>
      <c r="D41" s="257" t="s">
        <v>45</v>
      </c>
      <c r="E41" s="257"/>
      <c r="F41" s="270">
        <f>F42+F43+F44+F45+F46+F47</f>
        <v>999306</v>
      </c>
      <c r="G41" s="270">
        <f>G42+G43+G44+G45+G46+G47</f>
        <v>1389640</v>
      </c>
      <c r="H41" s="291">
        <f t="shared" si="1"/>
        <v>139.06050799254683</v>
      </c>
      <c r="I41" s="292">
        <f t="shared" si="2"/>
        <v>0.028433499429156753</v>
      </c>
      <c r="J41" s="292">
        <f t="shared" si="0"/>
        <v>0.04059700773958973</v>
      </c>
    </row>
    <row r="42" spans="1:10" ht="14.25" customHeight="1">
      <c r="A42" s="221"/>
      <c r="B42" s="129" t="s">
        <v>606</v>
      </c>
      <c r="C42" s="238"/>
      <c r="D42" s="24"/>
      <c r="E42" s="233" t="s">
        <v>804</v>
      </c>
      <c r="F42" s="211">
        <v>26</v>
      </c>
      <c r="G42" s="210">
        <v>0</v>
      </c>
      <c r="H42" s="168">
        <f t="shared" si="1"/>
        <v>0</v>
      </c>
      <c r="I42" s="302">
        <f t="shared" si="2"/>
        <v>7.397843955285724E-07</v>
      </c>
      <c r="J42" s="302">
        <f t="shared" si="0"/>
        <v>0</v>
      </c>
    </row>
    <row r="43" spans="1:10" ht="22.5" customHeight="1">
      <c r="A43" s="218"/>
      <c r="B43" s="129" t="s">
        <v>608</v>
      </c>
      <c r="C43" s="24"/>
      <c r="D43" s="24"/>
      <c r="E43" s="233" t="s">
        <v>805</v>
      </c>
      <c r="F43" s="211">
        <v>5350</v>
      </c>
      <c r="G43" s="210">
        <v>3000</v>
      </c>
      <c r="H43" s="168">
        <f t="shared" si="1"/>
        <v>56.074766355140184</v>
      </c>
      <c r="I43" s="302">
        <f t="shared" si="2"/>
        <v>0.0001522248660029947</v>
      </c>
      <c r="J43" s="302">
        <f t="shared" si="0"/>
        <v>8.764213984828386E-05</v>
      </c>
    </row>
    <row r="44" spans="1:10" ht="17.25" customHeight="1">
      <c r="A44" s="218"/>
      <c r="B44" s="129" t="s">
        <v>370</v>
      </c>
      <c r="C44" s="18"/>
      <c r="D44" s="18"/>
      <c r="E44" s="233" t="s">
        <v>369</v>
      </c>
      <c r="F44" s="211">
        <v>895589</v>
      </c>
      <c r="G44" s="210">
        <v>1271740</v>
      </c>
      <c r="H44" s="168">
        <f t="shared" si="1"/>
        <v>142.00040420326735</v>
      </c>
      <c r="I44" s="302">
        <f t="shared" si="2"/>
        <v>0.02548241411565533</v>
      </c>
      <c r="J44" s="302">
        <f t="shared" si="0"/>
        <v>0.037152671643552175</v>
      </c>
    </row>
    <row r="45" spans="1:10" ht="12.75" customHeight="1">
      <c r="A45" s="218"/>
      <c r="B45" s="129" t="s">
        <v>603</v>
      </c>
      <c r="C45" s="18"/>
      <c r="D45" s="18"/>
      <c r="E45" s="233" t="s">
        <v>803</v>
      </c>
      <c r="F45" s="211">
        <v>2689</v>
      </c>
      <c r="G45" s="210">
        <v>1900</v>
      </c>
      <c r="H45" s="168">
        <f t="shared" si="1"/>
        <v>70.65823726292302</v>
      </c>
      <c r="I45" s="302">
        <f t="shared" si="2"/>
        <v>7.651077844524351E-05</v>
      </c>
      <c r="J45" s="302">
        <f t="shared" si="0"/>
        <v>5.550668857057978E-05</v>
      </c>
    </row>
    <row r="46" spans="1:10" ht="14.25" customHeight="1">
      <c r="A46" s="221"/>
      <c r="B46" s="129" t="s">
        <v>663</v>
      </c>
      <c r="C46" s="18"/>
      <c r="D46" s="18"/>
      <c r="E46" s="233" t="s">
        <v>807</v>
      </c>
      <c r="F46" s="211">
        <v>33652</v>
      </c>
      <c r="G46" s="210">
        <v>33000</v>
      </c>
      <c r="H46" s="168">
        <f t="shared" si="1"/>
        <v>98.06252228693688</v>
      </c>
      <c r="I46" s="302">
        <f t="shared" si="2"/>
        <v>0.0009575086337818276</v>
      </c>
      <c r="J46" s="302">
        <f t="shared" si="0"/>
        <v>0.0009640635383311224</v>
      </c>
    </row>
    <row r="47" spans="1:10" ht="20.25" customHeight="1">
      <c r="A47" s="123"/>
      <c r="B47" s="129" t="s">
        <v>615</v>
      </c>
      <c r="C47" s="8"/>
      <c r="D47" s="8"/>
      <c r="E47" s="232">
        <v>2110</v>
      </c>
      <c r="F47" s="211">
        <v>62000</v>
      </c>
      <c r="G47" s="210">
        <v>80000</v>
      </c>
      <c r="H47" s="168">
        <f t="shared" si="1"/>
        <v>129.03225806451613</v>
      </c>
      <c r="I47" s="302">
        <f t="shared" si="2"/>
        <v>0.0017641012508758265</v>
      </c>
      <c r="J47" s="302">
        <f t="shared" si="0"/>
        <v>0.0023371237292875695</v>
      </c>
    </row>
    <row r="48" spans="1:10" ht="24.75" customHeight="1">
      <c r="A48" s="219" t="s">
        <v>500</v>
      </c>
      <c r="B48" s="215" t="s">
        <v>679</v>
      </c>
      <c r="C48" s="241">
        <v>710</v>
      </c>
      <c r="D48" s="242"/>
      <c r="E48" s="243"/>
      <c r="F48" s="265">
        <f>F49+F51+F53</f>
        <v>266378</v>
      </c>
      <c r="G48" s="265">
        <f>G49+G51+G53</f>
        <v>238106</v>
      </c>
      <c r="H48" s="261">
        <f t="shared" si="1"/>
        <v>89.38651089804713</v>
      </c>
      <c r="I48" s="262">
        <f t="shared" si="2"/>
        <v>0.0075793187581580795</v>
      </c>
      <c r="J48" s="262">
        <f t="shared" si="0"/>
        <v>0.006956039783571825</v>
      </c>
    </row>
    <row r="49" spans="1:10" ht="25.5" customHeight="1">
      <c r="A49" s="290" t="s">
        <v>599</v>
      </c>
      <c r="B49" s="223" t="s">
        <v>51</v>
      </c>
      <c r="C49" s="246"/>
      <c r="D49" s="246">
        <v>71013</v>
      </c>
      <c r="E49" s="223"/>
      <c r="F49" s="277">
        <f>F50</f>
        <v>40000</v>
      </c>
      <c r="G49" s="277">
        <f>G50</f>
        <v>40000</v>
      </c>
      <c r="H49" s="291">
        <f t="shared" si="1"/>
        <v>100</v>
      </c>
      <c r="I49" s="292">
        <f t="shared" si="2"/>
        <v>0.0011381298392747268</v>
      </c>
      <c r="J49" s="292">
        <f t="shared" si="0"/>
        <v>0.0011685618646437848</v>
      </c>
    </row>
    <row r="50" spans="1:10" ht="24" customHeight="1">
      <c r="A50" s="123"/>
      <c r="B50" s="129" t="s">
        <v>615</v>
      </c>
      <c r="C50" s="8"/>
      <c r="D50" s="8"/>
      <c r="E50" s="232">
        <v>2110</v>
      </c>
      <c r="F50" s="211">
        <v>40000</v>
      </c>
      <c r="G50" s="210">
        <v>40000</v>
      </c>
      <c r="H50" s="168">
        <f t="shared" si="1"/>
        <v>100</v>
      </c>
      <c r="I50" s="302">
        <f t="shared" si="2"/>
        <v>0.0011381298392747268</v>
      </c>
      <c r="J50" s="302">
        <f t="shared" si="0"/>
        <v>0.0011685618646437848</v>
      </c>
    </row>
    <row r="51" spans="1:10" ht="24.75" customHeight="1">
      <c r="A51" s="290" t="s">
        <v>604</v>
      </c>
      <c r="B51" s="223" t="s">
        <v>53</v>
      </c>
      <c r="C51" s="246"/>
      <c r="D51" s="246">
        <v>71014</v>
      </c>
      <c r="E51" s="223"/>
      <c r="F51" s="270">
        <f>F52</f>
        <v>25000</v>
      </c>
      <c r="G51" s="270">
        <f>G52</f>
        <v>18000</v>
      </c>
      <c r="H51" s="291">
        <f t="shared" si="1"/>
        <v>72</v>
      </c>
      <c r="I51" s="292">
        <f t="shared" si="2"/>
        <v>0.0007113311495467042</v>
      </c>
      <c r="J51" s="292">
        <f t="shared" si="0"/>
        <v>0.0005258528390897031</v>
      </c>
    </row>
    <row r="52" spans="1:10" ht="24" customHeight="1">
      <c r="A52" s="123"/>
      <c r="B52" s="129" t="s">
        <v>615</v>
      </c>
      <c r="C52" s="8"/>
      <c r="D52" s="8"/>
      <c r="E52" s="232">
        <v>2110</v>
      </c>
      <c r="F52" s="268">
        <v>25000</v>
      </c>
      <c r="G52" s="268">
        <v>18000</v>
      </c>
      <c r="H52" s="168">
        <f t="shared" si="1"/>
        <v>72</v>
      </c>
      <c r="I52" s="302">
        <f t="shared" si="2"/>
        <v>0.0007113311495467042</v>
      </c>
      <c r="J52" s="302">
        <f t="shared" si="0"/>
        <v>0.0005258528390897031</v>
      </c>
    </row>
    <row r="53" spans="1:10" ht="21.75" customHeight="1">
      <c r="A53" s="290" t="s">
        <v>670</v>
      </c>
      <c r="B53" s="223" t="s">
        <v>55</v>
      </c>
      <c r="C53" s="246"/>
      <c r="D53" s="246">
        <v>71015</v>
      </c>
      <c r="E53" s="223"/>
      <c r="F53" s="270">
        <f>F54+F55</f>
        <v>201378</v>
      </c>
      <c r="G53" s="270">
        <f>G54+G55</f>
        <v>180106</v>
      </c>
      <c r="H53" s="291">
        <f t="shared" si="1"/>
        <v>89.43678058179145</v>
      </c>
      <c r="I53" s="292">
        <f t="shared" si="2"/>
        <v>0.005729857769336648</v>
      </c>
      <c r="J53" s="292">
        <f t="shared" si="0"/>
        <v>0.005261625079838338</v>
      </c>
    </row>
    <row r="54" spans="1:10" ht="18" customHeight="1">
      <c r="A54" s="123"/>
      <c r="B54" s="129" t="s">
        <v>603</v>
      </c>
      <c r="C54" s="244"/>
      <c r="D54" s="244"/>
      <c r="E54" s="245" t="s">
        <v>803</v>
      </c>
      <c r="F54" s="268">
        <v>100</v>
      </c>
      <c r="G54" s="268">
        <v>50</v>
      </c>
      <c r="H54" s="168">
        <f t="shared" si="1"/>
        <v>50</v>
      </c>
      <c r="I54" s="302">
        <f t="shared" si="2"/>
        <v>2.845324598186817E-06</v>
      </c>
      <c r="J54" s="302">
        <f t="shared" si="0"/>
        <v>1.460702330804731E-06</v>
      </c>
    </row>
    <row r="55" spans="1:10" ht="21.75" customHeight="1">
      <c r="A55" s="123"/>
      <c r="B55" s="129" t="s">
        <v>615</v>
      </c>
      <c r="C55" s="8"/>
      <c r="D55" s="8"/>
      <c r="E55" s="232">
        <v>2110</v>
      </c>
      <c r="F55" s="268">
        <v>201278</v>
      </c>
      <c r="G55" s="268">
        <v>180056</v>
      </c>
      <c r="H55" s="168">
        <f t="shared" si="1"/>
        <v>89.45637377159949</v>
      </c>
      <c r="I55" s="302">
        <f t="shared" si="2"/>
        <v>0.005727012444738461</v>
      </c>
      <c r="J55" s="302">
        <f t="shared" si="0"/>
        <v>0.0052601643775075325</v>
      </c>
    </row>
    <row r="56" spans="1:10" ht="16.5" customHeight="1">
      <c r="A56" s="219" t="s">
        <v>529</v>
      </c>
      <c r="B56" s="215" t="s">
        <v>660</v>
      </c>
      <c r="C56" s="241">
        <v>750</v>
      </c>
      <c r="D56" s="242"/>
      <c r="E56" s="224"/>
      <c r="F56" s="265">
        <f>F57+F59+F65</f>
        <v>894663</v>
      </c>
      <c r="G56" s="265">
        <f>G57+G59+G65</f>
        <v>849284</v>
      </c>
      <c r="H56" s="261">
        <f t="shared" si="1"/>
        <v>94.92781080697425</v>
      </c>
      <c r="I56" s="262">
        <f t="shared" si="2"/>
        <v>0.025456066409876122</v>
      </c>
      <c r="J56" s="262">
        <f t="shared" si="0"/>
        <v>0.024811022366303302</v>
      </c>
    </row>
    <row r="57" spans="1:10" ht="16.5" customHeight="1">
      <c r="A57" s="290" t="s">
        <v>599</v>
      </c>
      <c r="B57" s="223" t="s">
        <v>602</v>
      </c>
      <c r="C57" s="246"/>
      <c r="D57" s="246">
        <v>75011</v>
      </c>
      <c r="E57" s="223"/>
      <c r="F57" s="270">
        <f>F58</f>
        <v>102748</v>
      </c>
      <c r="G57" s="270">
        <f>G58</f>
        <v>102748</v>
      </c>
      <c r="H57" s="291">
        <f t="shared" si="1"/>
        <v>100</v>
      </c>
      <c r="I57" s="292">
        <f t="shared" si="2"/>
        <v>0.0029235141181449906</v>
      </c>
      <c r="J57" s="292">
        <f t="shared" si="0"/>
        <v>0.00300168486171049</v>
      </c>
    </row>
    <row r="58" spans="1:10" ht="21" customHeight="1">
      <c r="A58" s="123"/>
      <c r="B58" s="129" t="s">
        <v>615</v>
      </c>
      <c r="C58" s="8"/>
      <c r="D58" s="8"/>
      <c r="E58" s="232">
        <v>2110</v>
      </c>
      <c r="F58" s="268">
        <v>102748</v>
      </c>
      <c r="G58" s="268">
        <v>102748</v>
      </c>
      <c r="H58" s="168">
        <f t="shared" si="1"/>
        <v>100</v>
      </c>
      <c r="I58" s="302">
        <f t="shared" si="2"/>
        <v>0.0029235141181449906</v>
      </c>
      <c r="J58" s="302">
        <f t="shared" si="0"/>
        <v>0.00300168486171049</v>
      </c>
    </row>
    <row r="59" spans="1:10" ht="17.25" customHeight="1">
      <c r="A59" s="290" t="s">
        <v>604</v>
      </c>
      <c r="B59" s="223" t="s">
        <v>661</v>
      </c>
      <c r="C59" s="246"/>
      <c r="D59" s="246">
        <v>75020</v>
      </c>
      <c r="E59" s="246"/>
      <c r="F59" s="293">
        <f>F60+F61+F62+F63+F64</f>
        <v>778915</v>
      </c>
      <c r="G59" s="293">
        <f>G60+G61+G62+G63+G64</f>
        <v>732536</v>
      </c>
      <c r="H59" s="291">
        <f t="shared" si="1"/>
        <v>94.04569176354288</v>
      </c>
      <c r="I59" s="292">
        <f t="shared" si="2"/>
        <v>0.022162660093966845</v>
      </c>
      <c r="J59" s="292">
        <f t="shared" si="0"/>
        <v>0.02140034085196749</v>
      </c>
    </row>
    <row r="60" spans="1:10" ht="18" customHeight="1">
      <c r="A60" s="123"/>
      <c r="B60" s="129" t="s">
        <v>662</v>
      </c>
      <c r="C60" s="18"/>
      <c r="D60" s="18"/>
      <c r="E60" s="233" t="s">
        <v>808</v>
      </c>
      <c r="F60" s="211">
        <v>770000</v>
      </c>
      <c r="G60" s="210">
        <v>725000</v>
      </c>
      <c r="H60" s="168">
        <f t="shared" si="1"/>
        <v>94.15584415584416</v>
      </c>
      <c r="I60" s="302">
        <f t="shared" si="2"/>
        <v>0.02190899940603849</v>
      </c>
      <c r="J60" s="302">
        <f t="shared" si="0"/>
        <v>0.0211801837966686</v>
      </c>
    </row>
    <row r="61" spans="1:10" ht="14.25" customHeight="1">
      <c r="A61" s="123"/>
      <c r="B61" s="129" t="s">
        <v>606</v>
      </c>
      <c r="C61" s="18"/>
      <c r="D61" s="18"/>
      <c r="E61" s="233" t="s">
        <v>804</v>
      </c>
      <c r="F61" s="213">
        <v>2900</v>
      </c>
      <c r="G61" s="212">
        <v>2600</v>
      </c>
      <c r="H61" s="168">
        <f t="shared" si="1"/>
        <v>89.65517241379311</v>
      </c>
      <c r="I61" s="302">
        <f t="shared" si="2"/>
        <v>8.251441334741768E-05</v>
      </c>
      <c r="J61" s="302">
        <f t="shared" si="0"/>
        <v>7.595652120184601E-05</v>
      </c>
    </row>
    <row r="62" spans="1:10" ht="21" customHeight="1">
      <c r="A62" s="123"/>
      <c r="B62" s="129" t="s">
        <v>608</v>
      </c>
      <c r="C62" s="18"/>
      <c r="D62" s="18"/>
      <c r="E62" s="233" t="s">
        <v>805</v>
      </c>
      <c r="F62" s="211">
        <v>860</v>
      </c>
      <c r="G62" s="210">
        <v>756</v>
      </c>
      <c r="H62" s="168">
        <f t="shared" si="1"/>
        <v>87.90697674418605</v>
      </c>
      <c r="I62" s="302">
        <f t="shared" si="2"/>
        <v>2.4469791544406625E-05</v>
      </c>
      <c r="J62" s="302">
        <f t="shared" si="0"/>
        <v>2.2085819241767533E-05</v>
      </c>
    </row>
    <row r="63" spans="1:10" ht="18" customHeight="1">
      <c r="A63" s="123"/>
      <c r="B63" s="129" t="s">
        <v>609</v>
      </c>
      <c r="C63" s="18"/>
      <c r="D63" s="18"/>
      <c r="E63" s="233" t="s">
        <v>806</v>
      </c>
      <c r="F63" s="211">
        <v>1555</v>
      </c>
      <c r="G63" s="210">
        <v>1000</v>
      </c>
      <c r="H63" s="168">
        <f t="shared" si="1"/>
        <v>64.30868167202573</v>
      </c>
      <c r="I63" s="302">
        <f t="shared" si="2"/>
        <v>4.4244797501805004E-05</v>
      </c>
      <c r="J63" s="302">
        <f t="shared" si="0"/>
        <v>2.921404661609462E-05</v>
      </c>
    </row>
    <row r="64" spans="1:10" ht="18" customHeight="1">
      <c r="A64" s="123"/>
      <c r="B64" s="129" t="s">
        <v>663</v>
      </c>
      <c r="C64" s="18"/>
      <c r="D64" s="18"/>
      <c r="E64" s="233" t="s">
        <v>807</v>
      </c>
      <c r="F64" s="268">
        <v>3600</v>
      </c>
      <c r="G64" s="268">
        <v>3180</v>
      </c>
      <c r="H64" s="168">
        <f t="shared" si="1"/>
        <v>88.33333333333333</v>
      </c>
      <c r="I64" s="302">
        <f t="shared" si="2"/>
        <v>0.0001024316855347254</v>
      </c>
      <c r="J64" s="302">
        <f t="shared" si="0"/>
        <v>9.290066823918089E-05</v>
      </c>
    </row>
    <row r="65" spans="1:10" ht="16.5" customHeight="1">
      <c r="A65" s="290" t="s">
        <v>670</v>
      </c>
      <c r="B65" s="223" t="s">
        <v>69</v>
      </c>
      <c r="C65" s="246"/>
      <c r="D65" s="246">
        <v>75045</v>
      </c>
      <c r="E65" s="223"/>
      <c r="F65" s="270">
        <f>F66</f>
        <v>13000</v>
      </c>
      <c r="G65" s="270">
        <f>G66</f>
        <v>14000</v>
      </c>
      <c r="H65" s="291">
        <f t="shared" si="1"/>
        <v>107.6923076923077</v>
      </c>
      <c r="I65" s="292">
        <f t="shared" si="2"/>
        <v>0.0003698921977642862</v>
      </c>
      <c r="J65" s="292">
        <f t="shared" si="0"/>
        <v>0.00040899665262532467</v>
      </c>
    </row>
    <row r="66" spans="1:10" ht="20.25" customHeight="1">
      <c r="A66" s="123"/>
      <c r="B66" s="129" t="s">
        <v>615</v>
      </c>
      <c r="C66" s="8"/>
      <c r="D66" s="8"/>
      <c r="E66" s="232">
        <v>2110</v>
      </c>
      <c r="F66" s="211">
        <v>13000</v>
      </c>
      <c r="G66" s="210">
        <v>14000</v>
      </c>
      <c r="H66" s="168">
        <f t="shared" si="1"/>
        <v>107.6923076923077</v>
      </c>
      <c r="I66" s="302">
        <f t="shared" si="2"/>
        <v>0.0003698921977642862</v>
      </c>
      <c r="J66" s="302">
        <f t="shared" si="0"/>
        <v>0.00040899665262532467</v>
      </c>
    </row>
    <row r="67" spans="1:10" ht="44.25" customHeight="1">
      <c r="A67" s="219" t="s">
        <v>530</v>
      </c>
      <c r="B67" s="222" t="s">
        <v>623</v>
      </c>
      <c r="C67" s="241">
        <v>751</v>
      </c>
      <c r="D67" s="241"/>
      <c r="E67" s="224"/>
      <c r="F67" s="265">
        <f>F68</f>
        <v>11050</v>
      </c>
      <c r="G67" s="265">
        <f>G68</f>
        <v>0</v>
      </c>
      <c r="H67" s="261">
        <f t="shared" si="1"/>
        <v>0</v>
      </c>
      <c r="I67" s="262">
        <f t="shared" si="2"/>
        <v>0.0003144083680996433</v>
      </c>
      <c r="J67" s="262">
        <f t="shared" si="0"/>
        <v>0</v>
      </c>
    </row>
    <row r="68" spans="1:10" ht="23.25" customHeight="1">
      <c r="A68" s="290" t="s">
        <v>599</v>
      </c>
      <c r="B68" s="223" t="s">
        <v>624</v>
      </c>
      <c r="C68" s="246"/>
      <c r="D68" s="246">
        <v>75109</v>
      </c>
      <c r="E68" s="246"/>
      <c r="F68" s="270">
        <f>F69</f>
        <v>11050</v>
      </c>
      <c r="G68" s="270">
        <f>G69</f>
        <v>0</v>
      </c>
      <c r="H68" s="291">
        <f t="shared" si="1"/>
        <v>0</v>
      </c>
      <c r="I68" s="292">
        <f t="shared" si="2"/>
        <v>0.0003144083680996433</v>
      </c>
      <c r="J68" s="292">
        <f t="shared" si="0"/>
        <v>0</v>
      </c>
    </row>
    <row r="69" spans="1:10" ht="21" customHeight="1">
      <c r="A69" s="123"/>
      <c r="B69" s="129" t="s">
        <v>615</v>
      </c>
      <c r="C69" s="8"/>
      <c r="D69" s="8"/>
      <c r="E69" s="232">
        <v>2110</v>
      </c>
      <c r="F69" s="211">
        <v>11050</v>
      </c>
      <c r="G69" s="210">
        <v>0</v>
      </c>
      <c r="H69" s="168">
        <f t="shared" si="1"/>
        <v>0</v>
      </c>
      <c r="I69" s="302">
        <f t="shared" si="2"/>
        <v>0.0003144083680996433</v>
      </c>
      <c r="J69" s="302">
        <f t="shared" si="0"/>
        <v>0</v>
      </c>
    </row>
    <row r="70" spans="1:10" ht="22.5" customHeight="1">
      <c r="A70" s="219" t="s">
        <v>517</v>
      </c>
      <c r="B70" s="222" t="s">
        <v>664</v>
      </c>
      <c r="C70" s="241">
        <v>754</v>
      </c>
      <c r="D70" s="242"/>
      <c r="E70" s="243"/>
      <c r="F70" s="265">
        <f>F71+F78</f>
        <v>2286130</v>
      </c>
      <c r="G70" s="265">
        <f>G71+G78</f>
        <v>2216000</v>
      </c>
      <c r="H70" s="261">
        <f t="shared" si="1"/>
        <v>96.93237042512894</v>
      </c>
      <c r="I70" s="262">
        <f t="shared" si="2"/>
        <v>0.06504781923652828</v>
      </c>
      <c r="J70" s="262">
        <f t="shared" si="0"/>
        <v>0.06473832730126568</v>
      </c>
    </row>
    <row r="71" spans="1:10" ht="22.5" customHeight="1">
      <c r="A71" s="290" t="s">
        <v>599</v>
      </c>
      <c r="B71" s="223" t="s">
        <v>449</v>
      </c>
      <c r="C71" s="246"/>
      <c r="D71" s="246">
        <v>75411</v>
      </c>
      <c r="E71" s="223"/>
      <c r="F71" s="270">
        <f>F72+F73+F74+F75+F76+F77</f>
        <v>2283130</v>
      </c>
      <c r="G71" s="270">
        <f>G72+G73+G74+G75+G76+G77</f>
        <v>2216000</v>
      </c>
      <c r="H71" s="291">
        <f t="shared" si="1"/>
        <v>97.05973816646446</v>
      </c>
      <c r="I71" s="292">
        <f t="shared" si="2"/>
        <v>0.06496245949858268</v>
      </c>
      <c r="J71" s="292">
        <f t="shared" si="0"/>
        <v>0.06473832730126568</v>
      </c>
    </row>
    <row r="72" spans="1:10" ht="18.75" customHeight="1">
      <c r="A72" s="123"/>
      <c r="B72" s="129" t="s">
        <v>603</v>
      </c>
      <c r="C72" s="244"/>
      <c r="D72" s="244"/>
      <c r="E72" s="247" t="s">
        <v>803</v>
      </c>
      <c r="F72" s="268">
        <v>1130</v>
      </c>
      <c r="G72" s="268">
        <v>1000</v>
      </c>
      <c r="H72" s="168">
        <f t="shared" si="1"/>
        <v>88.49557522123894</v>
      </c>
      <c r="I72" s="302">
        <f t="shared" si="2"/>
        <v>3.215216795951103E-05</v>
      </c>
      <c r="J72" s="302">
        <f t="shared" si="0"/>
        <v>2.921404661609462E-05</v>
      </c>
    </row>
    <row r="73" spans="1:10" ht="18.75" customHeight="1">
      <c r="A73" s="123"/>
      <c r="B73" s="129" t="s">
        <v>663</v>
      </c>
      <c r="C73" s="244"/>
      <c r="D73" s="244"/>
      <c r="E73" s="247" t="s">
        <v>807</v>
      </c>
      <c r="F73" s="211">
        <v>50000</v>
      </c>
      <c r="G73" s="210">
        <v>0</v>
      </c>
      <c r="H73" s="168">
        <f t="shared" si="1"/>
        <v>0</v>
      </c>
      <c r="I73" s="302">
        <f t="shared" si="2"/>
        <v>0.0014226622990934083</v>
      </c>
      <c r="J73" s="302">
        <f t="shared" si="0"/>
        <v>0</v>
      </c>
    </row>
    <row r="74" spans="1:10" ht="23.25" customHeight="1">
      <c r="A74" s="123"/>
      <c r="B74" s="129" t="s">
        <v>615</v>
      </c>
      <c r="C74" s="8"/>
      <c r="D74" s="8"/>
      <c r="E74" s="232">
        <v>2110</v>
      </c>
      <c r="F74" s="211">
        <v>2201000</v>
      </c>
      <c r="G74" s="210">
        <v>2215000</v>
      </c>
      <c r="H74" s="168">
        <f t="shared" si="1"/>
        <v>100.63607451158565</v>
      </c>
      <c r="I74" s="302">
        <f t="shared" si="2"/>
        <v>0.06262559440609183</v>
      </c>
      <c r="J74" s="302">
        <f t="shared" si="0"/>
        <v>0.06470911325464958</v>
      </c>
    </row>
    <row r="75" spans="1:10" ht="20.25" customHeight="1">
      <c r="A75" s="221"/>
      <c r="B75" s="129" t="s">
        <v>615</v>
      </c>
      <c r="C75" s="8"/>
      <c r="D75" s="79"/>
      <c r="E75" s="232">
        <v>2310</v>
      </c>
      <c r="F75" s="211">
        <v>1000</v>
      </c>
      <c r="G75" s="210">
        <v>0</v>
      </c>
      <c r="H75" s="168">
        <f t="shared" si="1"/>
        <v>0</v>
      </c>
      <c r="I75" s="302">
        <f t="shared" si="2"/>
        <v>2.845324598186817E-05</v>
      </c>
      <c r="J75" s="302">
        <f t="shared" si="0"/>
        <v>0</v>
      </c>
    </row>
    <row r="76" spans="1:10" ht="20.25" customHeight="1">
      <c r="A76" s="221"/>
      <c r="B76" s="129" t="s">
        <v>620</v>
      </c>
      <c r="C76" s="8"/>
      <c r="D76" s="79"/>
      <c r="E76" s="232">
        <v>6610</v>
      </c>
      <c r="F76" s="211">
        <v>10000</v>
      </c>
      <c r="G76" s="210">
        <v>0</v>
      </c>
      <c r="H76" s="168">
        <f t="shared" si="1"/>
        <v>0</v>
      </c>
      <c r="I76" s="302">
        <f t="shared" si="2"/>
        <v>0.0002845324598186817</v>
      </c>
      <c r="J76" s="302">
        <f t="shared" si="0"/>
        <v>0</v>
      </c>
    </row>
    <row r="77" spans="1:10" ht="23.25" customHeight="1">
      <c r="A77" s="221"/>
      <c r="B77" s="129" t="s">
        <v>625</v>
      </c>
      <c r="C77" s="8"/>
      <c r="D77" s="79"/>
      <c r="E77" s="232">
        <v>6630</v>
      </c>
      <c r="F77" s="211">
        <v>20000</v>
      </c>
      <c r="G77" s="210">
        <v>0</v>
      </c>
      <c r="H77" s="168">
        <f t="shared" si="1"/>
        <v>0</v>
      </c>
      <c r="I77" s="302">
        <f t="shared" si="2"/>
        <v>0.0005690649196373634</v>
      </c>
      <c r="J77" s="302">
        <f t="shared" si="0"/>
        <v>0</v>
      </c>
    </row>
    <row r="78" spans="1:10" ht="21" customHeight="1">
      <c r="A78" s="290" t="s">
        <v>604</v>
      </c>
      <c r="B78" s="223" t="s">
        <v>228</v>
      </c>
      <c r="C78" s="246"/>
      <c r="D78" s="246">
        <v>75414</v>
      </c>
      <c r="E78" s="223"/>
      <c r="F78" s="270">
        <f>F79</f>
        <v>3000</v>
      </c>
      <c r="G78" s="270">
        <f>G79</f>
        <v>0</v>
      </c>
      <c r="H78" s="291">
        <f t="shared" si="1"/>
        <v>0</v>
      </c>
      <c r="I78" s="292">
        <f t="shared" si="2"/>
        <v>8.53597379456045E-05</v>
      </c>
      <c r="J78" s="292">
        <f t="shared" si="0"/>
        <v>0</v>
      </c>
    </row>
    <row r="79" spans="1:10" ht="23.25" customHeight="1">
      <c r="A79" s="123"/>
      <c r="B79" s="129" t="s">
        <v>615</v>
      </c>
      <c r="C79" s="18"/>
      <c r="D79" s="18"/>
      <c r="E79" s="232">
        <v>2110</v>
      </c>
      <c r="F79" s="211">
        <v>3000</v>
      </c>
      <c r="G79" s="210">
        <v>0</v>
      </c>
      <c r="H79" s="168">
        <f t="shared" si="1"/>
        <v>0</v>
      </c>
      <c r="I79" s="302">
        <f t="shared" si="2"/>
        <v>8.53597379456045E-05</v>
      </c>
      <c r="J79" s="302">
        <f t="shared" si="0"/>
        <v>0</v>
      </c>
    </row>
    <row r="80" spans="1:10" ht="36.75" customHeight="1">
      <c r="A80" s="219" t="s">
        <v>595</v>
      </c>
      <c r="B80" s="224" t="s">
        <v>827</v>
      </c>
      <c r="C80" s="234" t="s">
        <v>665</v>
      </c>
      <c r="D80" s="239"/>
      <c r="E80" s="240"/>
      <c r="F80" s="265">
        <f>F81</f>
        <v>2056187</v>
      </c>
      <c r="G80" s="265">
        <f>G81</f>
        <v>2542353</v>
      </c>
      <c r="H80" s="261">
        <f t="shared" si="1"/>
        <v>123.64405572061297</v>
      </c>
      <c r="I80" s="262">
        <f t="shared" si="2"/>
        <v>0.058505194495719566</v>
      </c>
      <c r="J80" s="262">
        <f t="shared" si="0"/>
        <v>0.074272419056568</v>
      </c>
    </row>
    <row r="81" spans="1:10" ht="24.75" customHeight="1">
      <c r="A81" s="290" t="s">
        <v>599</v>
      </c>
      <c r="B81" s="246" t="s">
        <v>825</v>
      </c>
      <c r="C81" s="257"/>
      <c r="D81" s="257" t="s">
        <v>666</v>
      </c>
      <c r="E81" s="257"/>
      <c r="F81" s="270">
        <f>F82+F83</f>
        <v>2056187</v>
      </c>
      <c r="G81" s="270">
        <f>G82+G83</f>
        <v>2542353</v>
      </c>
      <c r="H81" s="291">
        <f t="shared" si="1"/>
        <v>123.64405572061297</v>
      </c>
      <c r="I81" s="292">
        <f t="shared" si="2"/>
        <v>0.058505194495719566</v>
      </c>
      <c r="J81" s="292">
        <f aca="true" t="shared" si="3" ref="J81:J144">G81/$G$193</f>
        <v>0.074272419056568</v>
      </c>
    </row>
    <row r="82" spans="1:10" ht="18.75" customHeight="1">
      <c r="A82" s="123"/>
      <c r="B82" s="129" t="s">
        <v>826</v>
      </c>
      <c r="C82" s="18"/>
      <c r="D82" s="18"/>
      <c r="E82" s="233" t="s">
        <v>809</v>
      </c>
      <c r="F82" s="211">
        <v>1971187</v>
      </c>
      <c r="G82" s="210">
        <v>2455766</v>
      </c>
      <c r="H82" s="168">
        <f aca="true" t="shared" si="4" ref="H82:H145">G82/F82*100</f>
        <v>124.58310652414002</v>
      </c>
      <c r="I82" s="302">
        <f aca="true" t="shared" si="5" ref="I82:I145">F82/$F$193</f>
        <v>0.05608666858726077</v>
      </c>
      <c r="J82" s="302">
        <f t="shared" si="3"/>
        <v>0.07174286240222022</v>
      </c>
    </row>
    <row r="83" spans="1:10" ht="17.25" customHeight="1">
      <c r="A83" s="123"/>
      <c r="B83" s="129" t="s">
        <v>35</v>
      </c>
      <c r="C83" s="18"/>
      <c r="D83" s="18"/>
      <c r="E83" s="233" t="s">
        <v>810</v>
      </c>
      <c r="F83" s="268">
        <v>85000</v>
      </c>
      <c r="G83" s="268">
        <v>86587</v>
      </c>
      <c r="H83" s="168">
        <f t="shared" si="4"/>
        <v>101.86705882352942</v>
      </c>
      <c r="I83" s="302">
        <f t="shared" si="5"/>
        <v>0.0024185259084587942</v>
      </c>
      <c r="J83" s="302">
        <f t="shared" si="3"/>
        <v>0.002529556654347785</v>
      </c>
    </row>
    <row r="84" spans="1:10" ht="21" customHeight="1">
      <c r="A84" s="219" t="s">
        <v>587</v>
      </c>
      <c r="B84" s="227" t="s">
        <v>667</v>
      </c>
      <c r="C84" s="241">
        <v>758</v>
      </c>
      <c r="D84" s="242"/>
      <c r="E84" s="243"/>
      <c r="F84" s="265">
        <f>F85+F87+F89+F92+F94</f>
        <v>16532092</v>
      </c>
      <c r="G84" s="265">
        <f>G85+G87+G89+G92+G94</f>
        <v>17587248</v>
      </c>
      <c r="H84" s="261">
        <f t="shared" si="4"/>
        <v>106.38247113553444</v>
      </c>
      <c r="I84" s="262">
        <f t="shared" si="5"/>
        <v>0.4703916802708749</v>
      </c>
      <c r="J84" s="262">
        <f t="shared" si="3"/>
        <v>0.5137946829208169</v>
      </c>
    </row>
    <row r="85" spans="1:10" ht="24" customHeight="1">
      <c r="A85" s="290" t="s">
        <v>599</v>
      </c>
      <c r="B85" s="223" t="s">
        <v>626</v>
      </c>
      <c r="C85" s="246"/>
      <c r="D85" s="246">
        <v>75801</v>
      </c>
      <c r="E85" s="246"/>
      <c r="F85" s="270">
        <f>F86</f>
        <v>13235322</v>
      </c>
      <c r="G85" s="270">
        <f>G86</f>
        <v>13777404</v>
      </c>
      <c r="H85" s="291">
        <f t="shared" si="4"/>
        <v>104.09572203834556</v>
      </c>
      <c r="I85" s="292">
        <f t="shared" si="5"/>
        <v>0.3765878725152314</v>
      </c>
      <c r="J85" s="292">
        <f t="shared" si="3"/>
        <v>0.40249372270476846</v>
      </c>
    </row>
    <row r="86" spans="1:10" ht="23.25" customHeight="1">
      <c r="A86" s="123"/>
      <c r="B86" s="129" t="s">
        <v>511</v>
      </c>
      <c r="C86" s="8"/>
      <c r="D86" s="8"/>
      <c r="E86" s="233" t="s">
        <v>812</v>
      </c>
      <c r="F86" s="211">
        <v>13235322</v>
      </c>
      <c r="G86" s="211">
        <v>13777404</v>
      </c>
      <c r="H86" s="168">
        <f t="shared" si="4"/>
        <v>104.09572203834556</v>
      </c>
      <c r="I86" s="302">
        <f t="shared" si="5"/>
        <v>0.3765878725152314</v>
      </c>
      <c r="J86" s="302">
        <f t="shared" si="3"/>
        <v>0.40249372270476846</v>
      </c>
    </row>
    <row r="87" spans="1:10" ht="25.5" customHeight="1">
      <c r="A87" s="290" t="s">
        <v>604</v>
      </c>
      <c r="B87" s="223" t="s">
        <v>627</v>
      </c>
      <c r="C87" s="246"/>
      <c r="D87" s="246">
        <v>75802</v>
      </c>
      <c r="E87" s="269"/>
      <c r="F87" s="270">
        <f>F88</f>
        <v>200000</v>
      </c>
      <c r="G87" s="270">
        <f>G88</f>
        <v>0</v>
      </c>
      <c r="H87" s="291">
        <f t="shared" si="4"/>
        <v>0</v>
      </c>
      <c r="I87" s="292">
        <f t="shared" si="5"/>
        <v>0.005690649196373633</v>
      </c>
      <c r="J87" s="292">
        <f t="shared" si="3"/>
        <v>0</v>
      </c>
    </row>
    <row r="88" spans="1:10" ht="26.25" customHeight="1">
      <c r="A88" s="123"/>
      <c r="B88" s="129" t="s">
        <v>628</v>
      </c>
      <c r="C88" s="8"/>
      <c r="D88" s="8"/>
      <c r="E88" s="233" t="s">
        <v>512</v>
      </c>
      <c r="F88" s="211">
        <v>200000</v>
      </c>
      <c r="G88" s="210">
        <v>0</v>
      </c>
      <c r="H88" s="168">
        <f t="shared" si="4"/>
        <v>0</v>
      </c>
      <c r="I88" s="302">
        <f t="shared" si="5"/>
        <v>0.005690649196373633</v>
      </c>
      <c r="J88" s="302">
        <f t="shared" si="3"/>
        <v>0</v>
      </c>
    </row>
    <row r="89" spans="1:10" ht="22.5" customHeight="1">
      <c r="A89" s="290" t="s">
        <v>670</v>
      </c>
      <c r="B89" s="223" t="s">
        <v>728</v>
      </c>
      <c r="C89" s="246"/>
      <c r="D89" s="246">
        <v>75803</v>
      </c>
      <c r="E89" s="269"/>
      <c r="F89" s="277">
        <f>F90+F91</f>
        <v>1619480</v>
      </c>
      <c r="G89" s="277">
        <f>G90+G91</f>
        <v>2174598</v>
      </c>
      <c r="H89" s="291">
        <f t="shared" si="4"/>
        <v>134.27754587892412</v>
      </c>
      <c r="I89" s="292">
        <f t="shared" si="5"/>
        <v>0.04607946280271586</v>
      </c>
      <c r="J89" s="292">
        <f t="shared" si="3"/>
        <v>0.06352880734326613</v>
      </c>
    </row>
    <row r="90" spans="1:10" ht="26.25" customHeight="1">
      <c r="A90" s="52"/>
      <c r="B90" s="129" t="s">
        <v>513</v>
      </c>
      <c r="C90" s="8"/>
      <c r="D90" s="8"/>
      <c r="E90" s="233" t="s">
        <v>812</v>
      </c>
      <c r="F90" s="268">
        <v>1314250</v>
      </c>
      <c r="G90" s="268">
        <v>1697100</v>
      </c>
      <c r="H90" s="168">
        <f t="shared" si="4"/>
        <v>129.1306828989918</v>
      </c>
      <c r="I90" s="302">
        <f t="shared" si="5"/>
        <v>0.03739467853167024</v>
      </c>
      <c r="J90" s="302">
        <f t="shared" si="3"/>
        <v>0.04957915851217418</v>
      </c>
    </row>
    <row r="91" spans="1:10" ht="20.25" customHeight="1">
      <c r="A91" s="52"/>
      <c r="B91" s="129" t="s">
        <v>431</v>
      </c>
      <c r="C91" s="8"/>
      <c r="D91" s="8"/>
      <c r="E91" s="233" t="s">
        <v>812</v>
      </c>
      <c r="F91" s="268">
        <v>305230</v>
      </c>
      <c r="G91" s="268">
        <v>477498</v>
      </c>
      <c r="H91" s="168">
        <f t="shared" si="4"/>
        <v>156.43875110572355</v>
      </c>
      <c r="I91" s="302">
        <f t="shared" si="5"/>
        <v>0.008684784271045621</v>
      </c>
      <c r="J91" s="302">
        <f t="shared" si="3"/>
        <v>0.013949648831091949</v>
      </c>
    </row>
    <row r="92" spans="1:10" ht="17.25" customHeight="1">
      <c r="A92" s="290" t="s">
        <v>672</v>
      </c>
      <c r="B92" s="223" t="s">
        <v>668</v>
      </c>
      <c r="C92" s="246"/>
      <c r="D92" s="246">
        <v>75814</v>
      </c>
      <c r="E92" s="257"/>
      <c r="F92" s="270">
        <f>F93</f>
        <v>25000</v>
      </c>
      <c r="G92" s="270">
        <f>G93</f>
        <v>25000</v>
      </c>
      <c r="H92" s="291">
        <f t="shared" si="4"/>
        <v>100</v>
      </c>
      <c r="I92" s="292">
        <f t="shared" si="5"/>
        <v>0.0007113311495467042</v>
      </c>
      <c r="J92" s="266">
        <f t="shared" si="3"/>
        <v>0.0007303511654023655</v>
      </c>
    </row>
    <row r="93" spans="1:10" ht="14.25" customHeight="1">
      <c r="A93" s="123"/>
      <c r="B93" s="129" t="s">
        <v>603</v>
      </c>
      <c r="C93" s="8"/>
      <c r="D93" s="8"/>
      <c r="E93" s="233" t="s">
        <v>803</v>
      </c>
      <c r="F93" s="211">
        <v>25000</v>
      </c>
      <c r="G93" s="210">
        <v>25000</v>
      </c>
      <c r="H93" s="168">
        <f t="shared" si="4"/>
        <v>100</v>
      </c>
      <c r="I93" s="302">
        <f t="shared" si="5"/>
        <v>0.0007113311495467042</v>
      </c>
      <c r="J93" s="302">
        <f t="shared" si="3"/>
        <v>0.0007303511654023655</v>
      </c>
    </row>
    <row r="94" spans="1:10" ht="19.5" customHeight="1">
      <c r="A94" s="290" t="s">
        <v>673</v>
      </c>
      <c r="B94" s="223" t="s">
        <v>907</v>
      </c>
      <c r="C94" s="246"/>
      <c r="D94" s="246">
        <v>75832</v>
      </c>
      <c r="E94" s="257"/>
      <c r="F94" s="277">
        <f>F95</f>
        <v>1452290</v>
      </c>
      <c r="G94" s="277">
        <f>G95</f>
        <v>1610246</v>
      </c>
      <c r="H94" s="291">
        <f t="shared" si="4"/>
        <v>110.87634012490619</v>
      </c>
      <c r="I94" s="292">
        <f t="shared" si="5"/>
        <v>0.04132236460700732</v>
      </c>
      <c r="J94" s="292">
        <f t="shared" si="3"/>
        <v>0.0470418017073799</v>
      </c>
    </row>
    <row r="95" spans="1:10" ht="21.75" customHeight="1">
      <c r="A95" s="221"/>
      <c r="B95" s="129" t="s">
        <v>514</v>
      </c>
      <c r="C95" s="40"/>
      <c r="D95" s="40"/>
      <c r="E95" s="233" t="s">
        <v>812</v>
      </c>
      <c r="F95" s="211">
        <v>1452290</v>
      </c>
      <c r="G95" s="210">
        <v>1610246</v>
      </c>
      <c r="H95" s="168">
        <f t="shared" si="4"/>
        <v>110.87634012490619</v>
      </c>
      <c r="I95" s="302">
        <f t="shared" si="5"/>
        <v>0.04132236460700732</v>
      </c>
      <c r="J95" s="302">
        <f t="shared" si="3"/>
        <v>0.0470418017073799</v>
      </c>
    </row>
    <row r="96" spans="1:10" ht="18.75" customHeight="1">
      <c r="A96" s="219" t="s">
        <v>876</v>
      </c>
      <c r="B96" s="227" t="s">
        <v>669</v>
      </c>
      <c r="C96" s="234" t="s">
        <v>126</v>
      </c>
      <c r="D96" s="239"/>
      <c r="E96" s="240"/>
      <c r="F96" s="265">
        <f>F97+F101+F107</f>
        <v>448182</v>
      </c>
      <c r="G96" s="265">
        <f>G97+G101+G107</f>
        <v>192600</v>
      </c>
      <c r="H96" s="261">
        <f t="shared" si="4"/>
        <v>42.97361339812844</v>
      </c>
      <c r="I96" s="262">
        <f t="shared" si="5"/>
        <v>0.01275223269064564</v>
      </c>
      <c r="J96" s="262">
        <f t="shared" si="3"/>
        <v>0.005626625378259824</v>
      </c>
    </row>
    <row r="97" spans="1:10" ht="15.75" customHeight="1">
      <c r="A97" s="290" t="s">
        <v>599</v>
      </c>
      <c r="B97" s="223" t="s">
        <v>143</v>
      </c>
      <c r="C97" s="257"/>
      <c r="D97" s="257" t="s">
        <v>142</v>
      </c>
      <c r="E97" s="257"/>
      <c r="F97" s="270">
        <f>F98+F99+F100</f>
        <v>17790</v>
      </c>
      <c r="G97" s="270">
        <f>G98+G99+G100</f>
        <v>17800</v>
      </c>
      <c r="H97" s="291">
        <f t="shared" si="4"/>
        <v>100.05621135469364</v>
      </c>
      <c r="I97" s="292">
        <f t="shared" si="5"/>
        <v>0.0005061832460174347</v>
      </c>
      <c r="J97" s="292">
        <f t="shared" si="3"/>
        <v>0.0005200100297664842</v>
      </c>
    </row>
    <row r="98" spans="1:10" ht="18" customHeight="1">
      <c r="A98" s="123"/>
      <c r="B98" s="129" t="s">
        <v>606</v>
      </c>
      <c r="C98" s="18"/>
      <c r="D98" s="18"/>
      <c r="E98" s="233" t="s">
        <v>804</v>
      </c>
      <c r="F98" s="211">
        <v>220</v>
      </c>
      <c r="G98" s="211">
        <v>400</v>
      </c>
      <c r="H98" s="168">
        <f t="shared" si="4"/>
        <v>181.8181818181818</v>
      </c>
      <c r="I98" s="302">
        <f t="shared" si="5"/>
        <v>6.259714116010997E-06</v>
      </c>
      <c r="J98" s="302">
        <f t="shared" si="3"/>
        <v>1.1685618646437849E-05</v>
      </c>
    </row>
    <row r="99" spans="1:10" ht="23.25" customHeight="1">
      <c r="A99" s="123"/>
      <c r="B99" s="129" t="s">
        <v>867</v>
      </c>
      <c r="C99" s="18"/>
      <c r="D99" s="18"/>
      <c r="E99" s="233" t="s">
        <v>805</v>
      </c>
      <c r="F99" s="272">
        <v>17000</v>
      </c>
      <c r="G99" s="272">
        <v>16800</v>
      </c>
      <c r="H99" s="168">
        <f t="shared" si="4"/>
        <v>98.82352941176471</v>
      </c>
      <c r="I99" s="302">
        <f t="shared" si="5"/>
        <v>0.0004837051816917589</v>
      </c>
      <c r="J99" s="302">
        <f t="shared" si="3"/>
        <v>0.0004907959831503896</v>
      </c>
    </row>
    <row r="100" spans="1:10" ht="20.25" customHeight="1">
      <c r="A100" s="221"/>
      <c r="B100" s="129" t="s">
        <v>603</v>
      </c>
      <c r="C100" s="8"/>
      <c r="D100" s="40"/>
      <c r="E100" s="233" t="s">
        <v>803</v>
      </c>
      <c r="F100" s="210">
        <v>570</v>
      </c>
      <c r="G100" s="210">
        <v>600</v>
      </c>
      <c r="H100" s="168">
        <f t="shared" si="4"/>
        <v>105.26315789473684</v>
      </c>
      <c r="I100" s="302">
        <f t="shared" si="5"/>
        <v>1.6218350209664856E-05</v>
      </c>
      <c r="J100" s="302">
        <f t="shared" si="3"/>
        <v>1.7528427969656772E-05</v>
      </c>
    </row>
    <row r="101" spans="1:10" ht="20.25" customHeight="1">
      <c r="A101" s="290" t="s">
        <v>604</v>
      </c>
      <c r="B101" s="223" t="s">
        <v>205</v>
      </c>
      <c r="C101" s="246"/>
      <c r="D101" s="246">
        <v>80130</v>
      </c>
      <c r="E101" s="246"/>
      <c r="F101" s="271">
        <f>F102+F103+F104+F105+F106</f>
        <v>140392</v>
      </c>
      <c r="G101" s="271">
        <f>G102+G103+G104+G105+G106</f>
        <v>174800</v>
      </c>
      <c r="H101" s="291">
        <f t="shared" si="4"/>
        <v>124.50851900393185</v>
      </c>
      <c r="I101" s="292">
        <f t="shared" si="5"/>
        <v>0.003994608109886436</v>
      </c>
      <c r="J101" s="292">
        <f t="shared" si="3"/>
        <v>0.005106615348493339</v>
      </c>
    </row>
    <row r="102" spans="1:10" ht="20.25" customHeight="1">
      <c r="A102" s="221"/>
      <c r="B102" s="129" t="s">
        <v>867</v>
      </c>
      <c r="C102" s="8"/>
      <c r="D102" s="40"/>
      <c r="E102" s="233" t="s">
        <v>805</v>
      </c>
      <c r="F102" s="210">
        <v>69800</v>
      </c>
      <c r="G102" s="210">
        <v>75505</v>
      </c>
      <c r="H102" s="168">
        <f t="shared" si="4"/>
        <v>108.17335243553008</v>
      </c>
      <c r="I102" s="302">
        <f t="shared" si="5"/>
        <v>0.001986036569534398</v>
      </c>
      <c r="J102" s="302">
        <f t="shared" si="3"/>
        <v>0.0022058065897482245</v>
      </c>
    </row>
    <row r="103" spans="1:10" ht="20.25" customHeight="1">
      <c r="A103" s="221"/>
      <c r="B103" s="129" t="s">
        <v>609</v>
      </c>
      <c r="C103" s="8"/>
      <c r="D103" s="40"/>
      <c r="E103" s="233" t="s">
        <v>806</v>
      </c>
      <c r="F103">
        <v>56187</v>
      </c>
      <c r="G103" s="210">
        <v>95385</v>
      </c>
      <c r="H103" s="168">
        <f t="shared" si="4"/>
        <v>169.76346841796146</v>
      </c>
      <c r="I103" s="302">
        <f t="shared" si="5"/>
        <v>0.0015987025319832268</v>
      </c>
      <c r="J103" s="302">
        <f t="shared" si="3"/>
        <v>0.0027865818364761854</v>
      </c>
    </row>
    <row r="104" spans="1:10" ht="20.25" customHeight="1">
      <c r="A104" s="221"/>
      <c r="B104" s="129" t="s">
        <v>370</v>
      </c>
      <c r="C104" s="8"/>
      <c r="D104" s="40"/>
      <c r="E104" s="233" t="s">
        <v>369</v>
      </c>
      <c r="F104" s="210">
        <v>3137</v>
      </c>
      <c r="G104" s="210">
        <v>0</v>
      </c>
      <c r="H104" s="168">
        <f t="shared" si="4"/>
        <v>0</v>
      </c>
      <c r="I104" s="302">
        <f t="shared" si="5"/>
        <v>8.925783264512044E-05</v>
      </c>
      <c r="J104" s="302">
        <f t="shared" si="3"/>
        <v>0</v>
      </c>
    </row>
    <row r="105" spans="1:10" ht="20.25" customHeight="1">
      <c r="A105" s="221"/>
      <c r="B105" s="129" t="s">
        <v>603</v>
      </c>
      <c r="C105" s="8"/>
      <c r="D105" s="40"/>
      <c r="E105" s="233" t="s">
        <v>803</v>
      </c>
      <c r="F105" s="210">
        <v>720</v>
      </c>
      <c r="G105" s="210">
        <v>650</v>
      </c>
      <c r="H105" s="168">
        <f t="shared" si="4"/>
        <v>90.27777777777779</v>
      </c>
      <c r="I105" s="302">
        <f t="shared" si="5"/>
        <v>2.048633710694508E-05</v>
      </c>
      <c r="J105" s="302">
        <f t="shared" si="3"/>
        <v>1.8989130300461502E-05</v>
      </c>
    </row>
    <row r="106" spans="1:10" ht="20.25" customHeight="1">
      <c r="A106" s="221"/>
      <c r="B106" s="129" t="s">
        <v>663</v>
      </c>
      <c r="C106" s="8"/>
      <c r="D106" s="40"/>
      <c r="E106" s="233" t="s">
        <v>807</v>
      </c>
      <c r="F106" s="210">
        <v>10548</v>
      </c>
      <c r="G106" s="210">
        <v>3260</v>
      </c>
      <c r="H106" s="168">
        <f t="shared" si="4"/>
        <v>30.906332954114525</v>
      </c>
      <c r="I106" s="302">
        <f t="shared" si="5"/>
        <v>0.00030012483861674547</v>
      </c>
      <c r="J106" s="302">
        <f t="shared" si="3"/>
        <v>9.523779196846846E-05</v>
      </c>
    </row>
    <row r="107" spans="1:10" ht="20.25" customHeight="1">
      <c r="A107" s="290" t="s">
        <v>670</v>
      </c>
      <c r="B107" s="223" t="s">
        <v>629</v>
      </c>
      <c r="C107" s="246"/>
      <c r="D107" s="246">
        <v>80147</v>
      </c>
      <c r="E107" s="246"/>
      <c r="F107" s="271">
        <f>F108</f>
        <v>290000</v>
      </c>
      <c r="G107" s="271">
        <f>G108</f>
        <v>0</v>
      </c>
      <c r="H107" s="291">
        <f t="shared" si="4"/>
        <v>0</v>
      </c>
      <c r="I107" s="292">
        <f t="shared" si="5"/>
        <v>0.008251441334741769</v>
      </c>
      <c r="J107" s="292">
        <f t="shared" si="3"/>
        <v>0</v>
      </c>
    </row>
    <row r="108" spans="1:10" ht="20.25" customHeight="1">
      <c r="A108" s="221"/>
      <c r="B108" s="129"/>
      <c r="C108" s="8"/>
      <c r="D108" s="40"/>
      <c r="E108" s="232">
        <v>6300</v>
      </c>
      <c r="F108" s="210">
        <v>290000</v>
      </c>
      <c r="G108" s="210">
        <v>0</v>
      </c>
      <c r="H108" s="168">
        <f t="shared" si="4"/>
        <v>0</v>
      </c>
      <c r="I108" s="302">
        <f t="shared" si="5"/>
        <v>0.008251441334741769</v>
      </c>
      <c r="J108" s="302">
        <f t="shared" si="3"/>
        <v>0</v>
      </c>
    </row>
    <row r="109" spans="1:10" ht="20.25" customHeight="1">
      <c r="A109" s="219">
        <v>12</v>
      </c>
      <c r="B109" s="222" t="s">
        <v>508</v>
      </c>
      <c r="C109" s="241">
        <v>803</v>
      </c>
      <c r="D109" s="241"/>
      <c r="E109" s="243"/>
      <c r="F109" s="274">
        <f>F110</f>
        <v>248658</v>
      </c>
      <c r="G109" s="274">
        <f>G110</f>
        <v>388078</v>
      </c>
      <c r="H109" s="261">
        <f t="shared" si="4"/>
        <v>156.06897827538225</v>
      </c>
      <c r="I109" s="262">
        <f t="shared" si="5"/>
        <v>0.007075127239359375</v>
      </c>
      <c r="J109" s="262">
        <f t="shared" si="3"/>
        <v>0.011337328782680768</v>
      </c>
    </row>
    <row r="110" spans="1:10" ht="24.75" customHeight="1">
      <c r="A110" s="290" t="s">
        <v>464</v>
      </c>
      <c r="B110" s="223" t="s">
        <v>381</v>
      </c>
      <c r="C110" s="246"/>
      <c r="D110" s="246">
        <v>80309</v>
      </c>
      <c r="E110" s="246"/>
      <c r="F110" s="271">
        <f>F111+F112+F113</f>
        <v>248658</v>
      </c>
      <c r="G110" s="271">
        <f>G111+G112+G113</f>
        <v>388078</v>
      </c>
      <c r="H110" s="291">
        <f t="shared" si="4"/>
        <v>156.06897827538225</v>
      </c>
      <c r="I110" s="292">
        <f t="shared" si="5"/>
        <v>0.007075127239359375</v>
      </c>
      <c r="J110" s="292">
        <f t="shared" si="3"/>
        <v>0.011337328782680768</v>
      </c>
    </row>
    <row r="111" spans="1:10" ht="15.75" customHeight="1">
      <c r="A111" s="221"/>
      <c r="B111" s="129" t="s">
        <v>603</v>
      </c>
      <c r="C111" s="8"/>
      <c r="D111" s="233"/>
      <c r="E111" s="233" t="s">
        <v>803</v>
      </c>
      <c r="F111" s="210">
        <v>40</v>
      </c>
      <c r="G111" s="210">
        <v>30</v>
      </c>
      <c r="H111" s="168">
        <f t="shared" si="4"/>
        <v>75</v>
      </c>
      <c r="I111" s="302">
        <f t="shared" si="5"/>
        <v>1.1381298392747268E-06</v>
      </c>
      <c r="J111" s="302">
        <f t="shared" si="3"/>
        <v>8.764213984828386E-07</v>
      </c>
    </row>
    <row r="112" spans="1:10" ht="32.25" customHeight="1">
      <c r="A112" s="221"/>
      <c r="B112" s="129" t="s">
        <v>646</v>
      </c>
      <c r="C112" s="8"/>
      <c r="D112" s="232"/>
      <c r="E112" s="233" t="s">
        <v>466</v>
      </c>
      <c r="F112" s="210">
        <v>177666</v>
      </c>
      <c r="G112" s="210">
        <v>291037</v>
      </c>
      <c r="H112" s="168">
        <f t="shared" si="4"/>
        <v>163.81130886044602</v>
      </c>
      <c r="I112" s="302">
        <f t="shared" si="5"/>
        <v>0.00505517440061459</v>
      </c>
      <c r="J112" s="302">
        <f t="shared" si="3"/>
        <v>0.00850236848500833</v>
      </c>
    </row>
    <row r="113" spans="1:10" ht="33.75" customHeight="1">
      <c r="A113" s="221"/>
      <c r="B113" s="129" t="s">
        <v>646</v>
      </c>
      <c r="C113" s="8"/>
      <c r="D113" s="232"/>
      <c r="E113" s="233" t="s">
        <v>467</v>
      </c>
      <c r="F113" s="210">
        <v>70952</v>
      </c>
      <c r="G113" s="210">
        <v>97011</v>
      </c>
      <c r="H113" s="168">
        <f t="shared" si="4"/>
        <v>136.7276468598489</v>
      </c>
      <c r="I113" s="302">
        <f t="shared" si="5"/>
        <v>0.0020188147089055105</v>
      </c>
      <c r="J113" s="302">
        <f t="shared" si="3"/>
        <v>0.002834083876273955</v>
      </c>
    </row>
    <row r="114" spans="1:10" s="27" customFormat="1" ht="20.25" customHeight="1">
      <c r="A114" s="219" t="s">
        <v>630</v>
      </c>
      <c r="B114" s="222" t="s">
        <v>671</v>
      </c>
      <c r="C114" s="241">
        <v>851</v>
      </c>
      <c r="D114" s="224"/>
      <c r="E114" s="235"/>
      <c r="F114" s="274">
        <f>F115+F122</f>
        <v>2077326</v>
      </c>
      <c r="G114" s="274">
        <f>G115+G122</f>
        <v>4800024</v>
      </c>
      <c r="H114" s="261">
        <f t="shared" si="4"/>
        <v>231.06743958338745</v>
      </c>
      <c r="I114" s="262">
        <f t="shared" si="5"/>
        <v>0.059106667662530275</v>
      </c>
      <c r="J114" s="262">
        <f t="shared" si="3"/>
        <v>0.14022812489437297</v>
      </c>
    </row>
    <row r="115" spans="1:10" ht="20.25" customHeight="1">
      <c r="A115" s="294"/>
      <c r="B115" s="223" t="s">
        <v>264</v>
      </c>
      <c r="C115" s="246"/>
      <c r="D115" s="246">
        <v>85111</v>
      </c>
      <c r="E115" s="257"/>
      <c r="F115" s="271">
        <f>F116+F117+F118+F119+F120+F121</f>
        <v>1529326</v>
      </c>
      <c r="G115" s="271">
        <f>G116+G117+G118+G119+G120+G121</f>
        <v>4046024</v>
      </c>
      <c r="H115" s="291">
        <f t="shared" si="4"/>
        <v>264.5625589311893</v>
      </c>
      <c r="I115" s="292">
        <f t="shared" si="5"/>
        <v>0.04351428886446652</v>
      </c>
      <c r="J115" s="292">
        <f t="shared" si="3"/>
        <v>0.11820073374583762</v>
      </c>
    </row>
    <row r="116" spans="1:10" ht="20.25" customHeight="1">
      <c r="A116" s="221"/>
      <c r="B116" s="143" t="s">
        <v>468</v>
      </c>
      <c r="C116" s="8"/>
      <c r="D116" s="232"/>
      <c r="E116" s="233" t="s">
        <v>504</v>
      </c>
      <c r="F116" s="210">
        <v>60006</v>
      </c>
      <c r="G116" s="210">
        <v>0</v>
      </c>
      <c r="H116" s="168">
        <f t="shared" si="4"/>
        <v>0</v>
      </c>
      <c r="I116" s="302">
        <f t="shared" si="5"/>
        <v>0.0017073654783879813</v>
      </c>
      <c r="J116" s="302">
        <f t="shared" si="3"/>
        <v>0</v>
      </c>
    </row>
    <row r="117" spans="1:10" ht="20.25" customHeight="1">
      <c r="A117" s="221"/>
      <c r="B117" s="129" t="s">
        <v>867</v>
      </c>
      <c r="C117" s="8"/>
      <c r="D117" s="232"/>
      <c r="E117" s="233" t="s">
        <v>805</v>
      </c>
      <c r="F117" s="210">
        <v>54120</v>
      </c>
      <c r="G117" s="210">
        <v>54120</v>
      </c>
      <c r="H117" s="168">
        <f t="shared" si="4"/>
        <v>100</v>
      </c>
      <c r="I117" s="302">
        <f t="shared" si="5"/>
        <v>0.0015398896725387053</v>
      </c>
      <c r="J117" s="302">
        <f t="shared" si="3"/>
        <v>0.001581064202863041</v>
      </c>
    </row>
    <row r="118" spans="1:10" ht="20.25" customHeight="1">
      <c r="A118" s="221"/>
      <c r="B118" s="129" t="s">
        <v>472</v>
      </c>
      <c r="C118" s="8"/>
      <c r="D118" s="232"/>
      <c r="E118" s="233" t="s">
        <v>471</v>
      </c>
      <c r="F118" s="210">
        <v>0</v>
      </c>
      <c r="G118" s="210">
        <v>720897</v>
      </c>
      <c r="H118" s="168">
        <v>0</v>
      </c>
      <c r="I118" s="302">
        <f t="shared" si="5"/>
        <v>0</v>
      </c>
      <c r="J118" s="302">
        <f t="shared" si="3"/>
        <v>0.021060318563402763</v>
      </c>
    </row>
    <row r="119" spans="1:10" ht="21" customHeight="1">
      <c r="A119" s="221"/>
      <c r="B119" s="216" t="s">
        <v>868</v>
      </c>
      <c r="C119" s="8"/>
      <c r="D119" s="232"/>
      <c r="E119" s="233" t="s">
        <v>506</v>
      </c>
      <c r="F119" s="210">
        <v>840758</v>
      </c>
      <c r="G119" s="210">
        <v>2115764</v>
      </c>
      <c r="H119" s="168">
        <f t="shared" si="4"/>
        <v>251.6495828764044</v>
      </c>
      <c r="I119" s="302">
        <f t="shared" si="5"/>
        <v>0.023922294185223517</v>
      </c>
      <c r="J119" s="302">
        <f t="shared" si="3"/>
        <v>0.06181002812465482</v>
      </c>
    </row>
    <row r="120" spans="1:10" ht="23.25" customHeight="1">
      <c r="A120" s="221"/>
      <c r="B120" s="216" t="s">
        <v>868</v>
      </c>
      <c r="C120" s="8"/>
      <c r="D120" s="40"/>
      <c r="E120" s="233" t="s">
        <v>751</v>
      </c>
      <c r="F120" s="210">
        <v>162854</v>
      </c>
      <c r="G120" s="210">
        <v>409822</v>
      </c>
      <c r="H120" s="168">
        <f t="shared" si="4"/>
        <v>251.64994412172868</v>
      </c>
      <c r="I120" s="302">
        <f t="shared" si="5"/>
        <v>0.004633724921131159</v>
      </c>
      <c r="J120" s="302">
        <f t="shared" si="3"/>
        <v>0.01197255901230113</v>
      </c>
    </row>
    <row r="121" spans="1:10" ht="24" customHeight="1">
      <c r="A121" s="221"/>
      <c r="B121" s="129" t="s">
        <v>620</v>
      </c>
      <c r="C121" s="8"/>
      <c r="D121" s="40"/>
      <c r="E121" s="233" t="s">
        <v>465</v>
      </c>
      <c r="F121" s="210">
        <v>411588</v>
      </c>
      <c r="G121" s="210">
        <v>745421</v>
      </c>
      <c r="H121" s="168">
        <f t="shared" si="4"/>
        <v>181.1085357201862</v>
      </c>
      <c r="I121" s="302">
        <f t="shared" si="5"/>
        <v>0.011711014607185155</v>
      </c>
      <c r="J121" s="302">
        <f t="shared" si="3"/>
        <v>0.021776763842615867</v>
      </c>
    </row>
    <row r="122" spans="1:10" ht="24.75" customHeight="1">
      <c r="A122" s="290" t="s">
        <v>604</v>
      </c>
      <c r="B122" s="223" t="s">
        <v>680</v>
      </c>
      <c r="C122" s="246"/>
      <c r="D122" s="246">
        <v>85156</v>
      </c>
      <c r="E122" s="223"/>
      <c r="F122" s="271">
        <f>F123</f>
        <v>548000</v>
      </c>
      <c r="G122" s="271">
        <f>G123</f>
        <v>754000</v>
      </c>
      <c r="H122" s="291">
        <f t="shared" si="4"/>
        <v>137.5912408759124</v>
      </c>
      <c r="I122" s="292">
        <f t="shared" si="5"/>
        <v>0.015592378798063756</v>
      </c>
      <c r="J122" s="292">
        <f t="shared" si="3"/>
        <v>0.022027391148535344</v>
      </c>
    </row>
    <row r="123" spans="1:10" ht="25.5" customHeight="1">
      <c r="A123" s="123"/>
      <c r="B123" s="129" t="s">
        <v>631</v>
      </c>
      <c r="C123" s="8"/>
      <c r="D123" s="8"/>
      <c r="E123" s="232">
        <v>2110</v>
      </c>
      <c r="F123" s="210">
        <v>548000</v>
      </c>
      <c r="G123" s="210">
        <v>754000</v>
      </c>
      <c r="H123" s="168">
        <f t="shared" si="4"/>
        <v>137.5912408759124</v>
      </c>
      <c r="I123" s="302">
        <f t="shared" si="5"/>
        <v>0.015592378798063756</v>
      </c>
      <c r="J123" s="302">
        <f t="shared" si="3"/>
        <v>0.022027391148535344</v>
      </c>
    </row>
    <row r="124" spans="1:10" ht="20.25" customHeight="1">
      <c r="A124" s="219" t="s">
        <v>632</v>
      </c>
      <c r="B124" s="215" t="s">
        <v>105</v>
      </c>
      <c r="C124" s="241">
        <v>852</v>
      </c>
      <c r="D124" s="241"/>
      <c r="E124" s="224"/>
      <c r="F124" s="263">
        <f>F125+F132+F138+F140+F144+F148+F151</f>
        <v>1807676</v>
      </c>
      <c r="G124" s="263">
        <f>G125+G132+G138+G140+G144+G148+G151</f>
        <v>1027022</v>
      </c>
      <c r="H124" s="261">
        <f t="shared" si="4"/>
        <v>56.81449551800212</v>
      </c>
      <c r="I124" s="262">
        <f t="shared" si="5"/>
        <v>0.05143424988351952</v>
      </c>
      <c r="J124" s="262">
        <f t="shared" si="3"/>
        <v>0.03000346858375473</v>
      </c>
    </row>
    <row r="125" spans="1:10" ht="25.5" customHeight="1">
      <c r="A125" s="295" t="s">
        <v>599</v>
      </c>
      <c r="B125" s="223" t="s">
        <v>457</v>
      </c>
      <c r="C125" s="257"/>
      <c r="D125" s="257" t="s">
        <v>106</v>
      </c>
      <c r="E125" s="257"/>
      <c r="F125" s="271">
        <f>F126+F127+F128+F129+F130+F131</f>
        <v>322472</v>
      </c>
      <c r="G125" s="271">
        <f>G126+G127+G128+G129+G130+G131</f>
        <v>114103</v>
      </c>
      <c r="H125" s="291">
        <f t="shared" si="4"/>
        <v>35.38384727976383</v>
      </c>
      <c r="I125" s="292">
        <f t="shared" si="5"/>
        <v>0.009175375138264993</v>
      </c>
      <c r="J125" s="292">
        <f t="shared" si="3"/>
        <v>0.0033334103610362445</v>
      </c>
    </row>
    <row r="126" spans="1:10" ht="21.75" customHeight="1">
      <c r="A126" s="221"/>
      <c r="B126" s="129" t="s">
        <v>408</v>
      </c>
      <c r="C126" s="238"/>
      <c r="D126" s="238"/>
      <c r="E126" s="233" t="s">
        <v>409</v>
      </c>
      <c r="F126" s="268">
        <v>1720</v>
      </c>
      <c r="G126" s="268">
        <v>500</v>
      </c>
      <c r="H126" s="168">
        <f t="shared" si="4"/>
        <v>29.069767441860467</v>
      </c>
      <c r="I126" s="302">
        <f t="shared" si="5"/>
        <v>4.893958308881325E-05</v>
      </c>
      <c r="J126" s="302">
        <f t="shared" si="3"/>
        <v>1.460702330804731E-05</v>
      </c>
    </row>
    <row r="127" spans="1:10" ht="24" customHeight="1">
      <c r="A127" s="221"/>
      <c r="B127" s="129" t="s">
        <v>633</v>
      </c>
      <c r="C127" s="18"/>
      <c r="D127" s="18"/>
      <c r="E127" s="233" t="s">
        <v>805</v>
      </c>
      <c r="F127" s="268">
        <v>0</v>
      </c>
      <c r="G127" s="268">
        <v>0</v>
      </c>
      <c r="H127" s="168">
        <v>0</v>
      </c>
      <c r="I127" s="302">
        <f t="shared" si="5"/>
        <v>0</v>
      </c>
      <c r="J127" s="302">
        <f t="shared" si="3"/>
        <v>0</v>
      </c>
    </row>
    <row r="128" spans="1:10" ht="17.25" customHeight="1">
      <c r="A128" s="221"/>
      <c r="B128" s="129" t="s">
        <v>603</v>
      </c>
      <c r="C128" s="18"/>
      <c r="D128" s="18"/>
      <c r="E128" s="233" t="s">
        <v>803</v>
      </c>
      <c r="F128" s="211">
        <v>200</v>
      </c>
      <c r="G128" s="210">
        <v>200</v>
      </c>
      <c r="H128" s="168">
        <f t="shared" si="4"/>
        <v>100</v>
      </c>
      <c r="I128" s="302">
        <f t="shared" si="5"/>
        <v>5.690649196373634E-06</v>
      </c>
      <c r="J128" s="302">
        <f t="shared" si="3"/>
        <v>5.842809323218924E-06</v>
      </c>
    </row>
    <row r="129" spans="1:10" ht="19.5" customHeight="1">
      <c r="A129" s="221"/>
      <c r="B129" s="129" t="s">
        <v>634</v>
      </c>
      <c r="C129" s="18"/>
      <c r="D129" s="18"/>
      <c r="E129" s="233" t="s">
        <v>635</v>
      </c>
      <c r="F129" s="211">
        <v>80000</v>
      </c>
      <c r="G129" s="210">
        <v>0</v>
      </c>
      <c r="H129" s="168">
        <f t="shared" si="4"/>
        <v>0</v>
      </c>
      <c r="I129" s="302">
        <f t="shared" si="5"/>
        <v>0.0022762596785494537</v>
      </c>
      <c r="J129" s="302">
        <f t="shared" si="3"/>
        <v>0</v>
      </c>
    </row>
    <row r="130" spans="1:10" ht="19.5" customHeight="1">
      <c r="A130" s="221"/>
      <c r="B130" s="129" t="s">
        <v>636</v>
      </c>
      <c r="C130" s="18"/>
      <c r="D130" s="18"/>
      <c r="E130" s="233" t="s">
        <v>637</v>
      </c>
      <c r="F130" s="211">
        <v>57000</v>
      </c>
      <c r="G130" s="210">
        <v>0</v>
      </c>
      <c r="H130" s="168">
        <f t="shared" si="4"/>
        <v>0</v>
      </c>
      <c r="I130" s="302">
        <f t="shared" si="5"/>
        <v>0.0016218350209664856</v>
      </c>
      <c r="J130" s="302">
        <f t="shared" si="3"/>
        <v>0</v>
      </c>
    </row>
    <row r="131" spans="1:10" ht="27.75" customHeight="1">
      <c r="A131" s="221"/>
      <c r="B131" s="129" t="s">
        <v>638</v>
      </c>
      <c r="C131" s="40"/>
      <c r="D131" s="79"/>
      <c r="E131" s="232">
        <v>2320</v>
      </c>
      <c r="F131" s="268">
        <v>183552</v>
      </c>
      <c r="G131" s="268">
        <v>113403</v>
      </c>
      <c r="H131" s="168">
        <f t="shared" si="4"/>
        <v>61.78249215481172</v>
      </c>
      <c r="I131" s="302">
        <f t="shared" si="5"/>
        <v>0.0052226502064638665</v>
      </c>
      <c r="J131" s="302">
        <f t="shared" si="3"/>
        <v>0.0033129605284049784</v>
      </c>
    </row>
    <row r="132" spans="1:10" ht="26.25" customHeight="1">
      <c r="A132" s="290" t="s">
        <v>604</v>
      </c>
      <c r="B132" s="223" t="s">
        <v>285</v>
      </c>
      <c r="C132" s="257"/>
      <c r="D132" s="257" t="s">
        <v>107</v>
      </c>
      <c r="E132" s="257"/>
      <c r="F132" s="277">
        <f>F133+F134+F135+F136+F137</f>
        <v>1021240</v>
      </c>
      <c r="G132" s="277">
        <f>G133+G134+G135+G136+G137</f>
        <v>848000</v>
      </c>
      <c r="H132" s="291">
        <f t="shared" si="4"/>
        <v>83.03630880106537</v>
      </c>
      <c r="I132" s="292">
        <f t="shared" si="5"/>
        <v>0.02905759292652305</v>
      </c>
      <c r="J132" s="292">
        <f t="shared" si="3"/>
        <v>0.02477351153044824</v>
      </c>
    </row>
    <row r="133" spans="1:10" ht="22.5" customHeight="1">
      <c r="A133" s="123"/>
      <c r="B133" s="129" t="s">
        <v>609</v>
      </c>
      <c r="C133" s="18"/>
      <c r="D133" s="18"/>
      <c r="E133" s="233" t="s">
        <v>806</v>
      </c>
      <c r="F133" s="211">
        <v>370498</v>
      </c>
      <c r="G133" s="210">
        <v>376800</v>
      </c>
      <c r="H133" s="168">
        <f t="shared" si="4"/>
        <v>101.70095385130284</v>
      </c>
      <c r="I133" s="302">
        <f t="shared" si="5"/>
        <v>0.010541870729790194</v>
      </c>
      <c r="J133" s="302">
        <f t="shared" si="3"/>
        <v>0.011007852764944454</v>
      </c>
    </row>
    <row r="134" spans="1:10" ht="18.75" customHeight="1">
      <c r="A134" s="123"/>
      <c r="B134" s="129" t="s">
        <v>370</v>
      </c>
      <c r="C134" s="18"/>
      <c r="D134" s="18"/>
      <c r="E134" s="233" t="s">
        <v>369</v>
      </c>
      <c r="F134" s="211">
        <v>28</v>
      </c>
      <c r="G134" s="210">
        <v>0</v>
      </c>
      <c r="H134" s="168">
        <f t="shared" si="4"/>
        <v>0</v>
      </c>
      <c r="I134" s="302">
        <f t="shared" si="5"/>
        <v>7.966908874923087E-07</v>
      </c>
      <c r="J134" s="302">
        <f t="shared" si="3"/>
        <v>0</v>
      </c>
    </row>
    <row r="135" spans="1:10" ht="15" customHeight="1">
      <c r="A135" s="123"/>
      <c r="B135" s="129" t="s">
        <v>603</v>
      </c>
      <c r="C135" s="18"/>
      <c r="D135" s="18"/>
      <c r="E135" s="233" t="s">
        <v>803</v>
      </c>
      <c r="F135" s="211">
        <v>150</v>
      </c>
      <c r="G135" s="210">
        <v>200</v>
      </c>
      <c r="H135" s="168">
        <f t="shared" si="4"/>
        <v>133.33333333333331</v>
      </c>
      <c r="I135" s="302">
        <f t="shared" si="5"/>
        <v>4.2679868972802254E-06</v>
      </c>
      <c r="J135" s="302">
        <f t="shared" si="3"/>
        <v>5.842809323218924E-06</v>
      </c>
    </row>
    <row r="136" spans="1:10" ht="14.25" customHeight="1">
      <c r="A136" s="123"/>
      <c r="B136" s="129" t="s">
        <v>663</v>
      </c>
      <c r="C136" s="18"/>
      <c r="D136" s="18"/>
      <c r="E136" s="233" t="s">
        <v>807</v>
      </c>
      <c r="F136" s="211">
        <v>26</v>
      </c>
      <c r="G136" s="210">
        <v>0</v>
      </c>
      <c r="H136" s="168">
        <f t="shared" si="4"/>
        <v>0</v>
      </c>
      <c r="I136" s="302">
        <f t="shared" si="5"/>
        <v>7.397843955285724E-07</v>
      </c>
      <c r="J136" s="302">
        <f t="shared" si="3"/>
        <v>0</v>
      </c>
    </row>
    <row r="137" spans="1:10" ht="20.25" customHeight="1">
      <c r="A137" s="123"/>
      <c r="B137" s="129" t="s">
        <v>639</v>
      </c>
      <c r="C137" s="8"/>
      <c r="D137" s="40"/>
      <c r="E137" s="232">
        <v>2130</v>
      </c>
      <c r="F137" s="268">
        <v>650538</v>
      </c>
      <c r="G137" s="268">
        <v>471000</v>
      </c>
      <c r="H137" s="168">
        <f t="shared" si="4"/>
        <v>72.40161220405264</v>
      </c>
      <c r="I137" s="302">
        <f t="shared" si="5"/>
        <v>0.018509917734552555</v>
      </c>
      <c r="J137" s="302">
        <f t="shared" si="3"/>
        <v>0.013759815956180567</v>
      </c>
    </row>
    <row r="138" spans="1:10" ht="19.5" customHeight="1">
      <c r="A138" s="290" t="s">
        <v>670</v>
      </c>
      <c r="B138" s="223" t="s">
        <v>640</v>
      </c>
      <c r="C138" s="246"/>
      <c r="D138" s="246">
        <v>85203</v>
      </c>
      <c r="E138" s="246"/>
      <c r="F138" s="270">
        <f>F139</f>
        <v>235666</v>
      </c>
      <c r="G138" s="270">
        <f>G139</f>
        <v>0</v>
      </c>
      <c r="H138" s="291">
        <f t="shared" si="4"/>
        <v>0</v>
      </c>
      <c r="I138" s="292">
        <f t="shared" si="5"/>
        <v>0.006705462667562944</v>
      </c>
      <c r="J138" s="266">
        <f t="shared" si="3"/>
        <v>0</v>
      </c>
    </row>
    <row r="139" spans="1:10" ht="23.25" customHeight="1">
      <c r="A139" s="123"/>
      <c r="B139" s="129" t="s">
        <v>631</v>
      </c>
      <c r="C139" s="8"/>
      <c r="D139" s="40"/>
      <c r="E139" s="232">
        <v>2110</v>
      </c>
      <c r="F139" s="211">
        <v>235666</v>
      </c>
      <c r="G139" s="210">
        <v>0</v>
      </c>
      <c r="H139" s="168">
        <f t="shared" si="4"/>
        <v>0</v>
      </c>
      <c r="I139" s="302">
        <f t="shared" si="5"/>
        <v>0.006705462667562944</v>
      </c>
      <c r="J139" s="302">
        <f t="shared" si="3"/>
        <v>0</v>
      </c>
    </row>
    <row r="140" spans="1:10" ht="16.5" customHeight="1">
      <c r="A140" s="290" t="s">
        <v>672</v>
      </c>
      <c r="B140" s="223" t="s">
        <v>458</v>
      </c>
      <c r="C140" s="257"/>
      <c r="D140" s="257" t="s">
        <v>112</v>
      </c>
      <c r="E140" s="257"/>
      <c r="F140" s="270">
        <f>F141+F142+F143</f>
        <v>95648</v>
      </c>
      <c r="G140" s="270">
        <f>G141+G142+G143</f>
        <v>61219</v>
      </c>
      <c r="H140" s="291">
        <f t="shared" si="4"/>
        <v>64.00447474071595</v>
      </c>
      <c r="I140" s="292">
        <f t="shared" si="5"/>
        <v>0.0027214960716737267</v>
      </c>
      <c r="J140" s="292">
        <f t="shared" si="3"/>
        <v>0.0017884547197906965</v>
      </c>
    </row>
    <row r="141" spans="1:10" ht="19.5" customHeight="1">
      <c r="A141" s="123"/>
      <c r="B141" s="129" t="s">
        <v>408</v>
      </c>
      <c r="C141" s="18"/>
      <c r="D141" s="18"/>
      <c r="E141" s="233" t="s">
        <v>409</v>
      </c>
      <c r="F141" s="268">
        <v>1063</v>
      </c>
      <c r="G141" s="268">
        <v>500</v>
      </c>
      <c r="H141" s="168">
        <f t="shared" si="4"/>
        <v>47.03668861712135</v>
      </c>
      <c r="I141" s="302">
        <f t="shared" si="5"/>
        <v>3.0245800478725865E-05</v>
      </c>
      <c r="J141" s="302">
        <f t="shared" si="3"/>
        <v>1.460702330804731E-05</v>
      </c>
    </row>
    <row r="142" spans="1:10" ht="23.25" customHeight="1">
      <c r="A142" s="123"/>
      <c r="B142" s="129" t="s">
        <v>634</v>
      </c>
      <c r="C142" s="18"/>
      <c r="D142" s="18"/>
      <c r="E142" s="233" t="s">
        <v>635</v>
      </c>
      <c r="F142" s="211">
        <v>30000</v>
      </c>
      <c r="G142" s="210">
        <v>0</v>
      </c>
      <c r="H142" s="168">
        <f t="shared" si="4"/>
        <v>0</v>
      </c>
      <c r="I142" s="302">
        <f t="shared" si="5"/>
        <v>0.000853597379456045</v>
      </c>
      <c r="J142" s="302">
        <f t="shared" si="3"/>
        <v>0</v>
      </c>
    </row>
    <row r="143" spans="1:10" ht="19.5" customHeight="1">
      <c r="A143" s="123"/>
      <c r="B143" s="129" t="s">
        <v>638</v>
      </c>
      <c r="C143" s="18"/>
      <c r="D143" s="18"/>
      <c r="E143" s="233" t="s">
        <v>225</v>
      </c>
      <c r="F143" s="211">
        <v>64585</v>
      </c>
      <c r="G143" s="210">
        <v>60719</v>
      </c>
      <c r="H143" s="168">
        <f t="shared" si="4"/>
        <v>94.01408995896881</v>
      </c>
      <c r="I143" s="302">
        <f t="shared" si="5"/>
        <v>0.0018376528917389556</v>
      </c>
      <c r="J143" s="302">
        <f t="shared" si="3"/>
        <v>0.0017738476964826492</v>
      </c>
    </row>
    <row r="144" spans="1:10" ht="18.75" customHeight="1">
      <c r="A144" s="290" t="s">
        <v>673</v>
      </c>
      <c r="B144" s="223" t="s">
        <v>505</v>
      </c>
      <c r="C144" s="257"/>
      <c r="D144" s="257" t="s">
        <v>108</v>
      </c>
      <c r="E144" s="257"/>
      <c r="F144" s="270">
        <f>F145+F146+F147</f>
        <v>6150</v>
      </c>
      <c r="G144" s="270">
        <f>G145+G146+G147</f>
        <v>100</v>
      </c>
      <c r="H144" s="291">
        <f t="shared" si="4"/>
        <v>1.6260162601626018</v>
      </c>
      <c r="I144" s="292">
        <f t="shared" si="5"/>
        <v>0.00017498746278848924</v>
      </c>
      <c r="J144" s="292">
        <f t="shared" si="3"/>
        <v>2.921404661609462E-06</v>
      </c>
    </row>
    <row r="145" spans="1:10" ht="19.5" customHeight="1">
      <c r="A145" s="123"/>
      <c r="B145" s="129" t="s">
        <v>603</v>
      </c>
      <c r="C145" s="18"/>
      <c r="D145" s="18"/>
      <c r="E145" s="233" t="s">
        <v>803</v>
      </c>
      <c r="F145" s="211">
        <v>150</v>
      </c>
      <c r="G145" s="210">
        <v>100</v>
      </c>
      <c r="H145" s="168">
        <f t="shared" si="4"/>
        <v>66.66666666666666</v>
      </c>
      <c r="I145" s="302">
        <f t="shared" si="5"/>
        <v>4.2679868972802254E-06</v>
      </c>
      <c r="J145" s="302">
        <f aca="true" t="shared" si="6" ref="J145:J192">G145/$G$193</f>
        <v>2.921404661609462E-06</v>
      </c>
    </row>
    <row r="146" spans="1:10" ht="19.5" customHeight="1">
      <c r="A146" s="123"/>
      <c r="B146" s="129" t="s">
        <v>631</v>
      </c>
      <c r="C146" s="18"/>
      <c r="D146" s="18"/>
      <c r="E146" s="233" t="s">
        <v>213</v>
      </c>
      <c r="F146" s="211">
        <v>3000</v>
      </c>
      <c r="G146" s="210">
        <v>0</v>
      </c>
      <c r="H146" s="168">
        <f aca="true" t="shared" si="7" ref="H146:H201">G146/F146*100</f>
        <v>0</v>
      </c>
      <c r="I146" s="302">
        <f aca="true" t="shared" si="8" ref="I146:I201">F146/$F$193</f>
        <v>8.53597379456045E-05</v>
      </c>
      <c r="J146" s="302">
        <f t="shared" si="6"/>
        <v>0</v>
      </c>
    </row>
    <row r="147" spans="1:10" ht="19.5" customHeight="1">
      <c r="A147" s="123"/>
      <c r="B147" s="129" t="s">
        <v>641</v>
      </c>
      <c r="C147" s="18"/>
      <c r="D147" s="18"/>
      <c r="E147" s="233" t="s">
        <v>637</v>
      </c>
      <c r="F147" s="211">
        <v>3000</v>
      </c>
      <c r="G147" s="210">
        <v>0</v>
      </c>
      <c r="H147" s="168">
        <f t="shared" si="7"/>
        <v>0</v>
      </c>
      <c r="I147" s="302">
        <f t="shared" si="8"/>
        <v>8.53597379456045E-05</v>
      </c>
      <c r="J147" s="302">
        <f t="shared" si="6"/>
        <v>0</v>
      </c>
    </row>
    <row r="148" spans="1:10" ht="22.5" customHeight="1">
      <c r="A148" s="290" t="s">
        <v>711</v>
      </c>
      <c r="B148" s="296" t="s">
        <v>398</v>
      </c>
      <c r="C148" s="257"/>
      <c r="D148" s="257" t="s">
        <v>394</v>
      </c>
      <c r="E148" s="257"/>
      <c r="F148" s="270">
        <f>F149+F150</f>
        <v>76500</v>
      </c>
      <c r="G148" s="270">
        <f>G149+G150</f>
        <v>3600</v>
      </c>
      <c r="H148" s="291">
        <f t="shared" si="7"/>
        <v>4.705882352941177</v>
      </c>
      <c r="I148" s="292">
        <f t="shared" si="8"/>
        <v>0.0021766733176129148</v>
      </c>
      <c r="J148" s="292">
        <f t="shared" si="6"/>
        <v>0.00010517056781794063</v>
      </c>
    </row>
    <row r="149" spans="1:10" ht="20.25" customHeight="1">
      <c r="A149" s="225"/>
      <c r="B149" s="129" t="s">
        <v>663</v>
      </c>
      <c r="C149" s="249"/>
      <c r="D149" s="249"/>
      <c r="E149" s="247" t="s">
        <v>807</v>
      </c>
      <c r="F149" s="211">
        <v>1500</v>
      </c>
      <c r="G149" s="210">
        <v>3600</v>
      </c>
      <c r="H149" s="168">
        <f t="shared" si="7"/>
        <v>240</v>
      </c>
      <c r="I149" s="302">
        <f t="shared" si="8"/>
        <v>4.267986897280225E-05</v>
      </c>
      <c r="J149" s="302">
        <f t="shared" si="6"/>
        <v>0.00010517056781794063</v>
      </c>
    </row>
    <row r="150" spans="1:10" ht="21" customHeight="1">
      <c r="A150" s="123"/>
      <c r="B150" s="129" t="s">
        <v>641</v>
      </c>
      <c r="C150" s="18"/>
      <c r="D150" s="18"/>
      <c r="E150" s="233" t="s">
        <v>637</v>
      </c>
      <c r="F150" s="211">
        <v>75000</v>
      </c>
      <c r="G150" s="210">
        <v>0</v>
      </c>
      <c r="H150" s="168">
        <f t="shared" si="7"/>
        <v>0</v>
      </c>
      <c r="I150" s="302">
        <f t="shared" si="8"/>
        <v>0.0021339934486401127</v>
      </c>
      <c r="J150" s="302">
        <f t="shared" si="6"/>
        <v>0</v>
      </c>
    </row>
    <row r="151" spans="1:10" ht="15.75" customHeight="1">
      <c r="A151" s="290" t="s">
        <v>642</v>
      </c>
      <c r="B151" s="223" t="s">
        <v>72</v>
      </c>
      <c r="C151" s="257"/>
      <c r="D151" s="257" t="s">
        <v>110</v>
      </c>
      <c r="E151" s="257"/>
      <c r="F151" s="270">
        <f>F152</f>
        <v>50000</v>
      </c>
      <c r="G151" s="270">
        <f>G152</f>
        <v>0</v>
      </c>
      <c r="H151" s="291">
        <f t="shared" si="7"/>
        <v>0</v>
      </c>
      <c r="I151" s="292">
        <f t="shared" si="8"/>
        <v>0.0014226622990934083</v>
      </c>
      <c r="J151" s="292">
        <f t="shared" si="6"/>
        <v>0</v>
      </c>
    </row>
    <row r="152" spans="1:10" ht="33" customHeight="1" thickBot="1">
      <c r="A152" s="123"/>
      <c r="B152" s="129" t="s">
        <v>469</v>
      </c>
      <c r="C152" s="18"/>
      <c r="D152" s="18"/>
      <c r="E152" s="233" t="s">
        <v>635</v>
      </c>
      <c r="F152" s="272">
        <v>50000</v>
      </c>
      <c r="G152" s="278">
        <v>0</v>
      </c>
      <c r="H152" s="168">
        <f t="shared" si="7"/>
        <v>0</v>
      </c>
      <c r="I152" s="302">
        <f t="shared" si="8"/>
        <v>0.0014226622990934083</v>
      </c>
      <c r="J152" s="302">
        <f t="shared" si="6"/>
        <v>0</v>
      </c>
    </row>
    <row r="153" spans="1:11" ht="36" customHeight="1">
      <c r="A153" s="219" t="s">
        <v>643</v>
      </c>
      <c r="B153" s="215" t="s">
        <v>109</v>
      </c>
      <c r="C153" s="234" t="s">
        <v>279</v>
      </c>
      <c r="D153" s="234"/>
      <c r="E153" s="235"/>
      <c r="F153" s="264">
        <f>F154+F158+F163</f>
        <v>1155878</v>
      </c>
      <c r="G153" s="264">
        <f>G154+G158+G163</f>
        <v>169206</v>
      </c>
      <c r="H153" s="261">
        <f t="shared" si="7"/>
        <v>14.638742150988254</v>
      </c>
      <c r="I153" s="262">
        <f t="shared" si="8"/>
        <v>0.03288848105902981</v>
      </c>
      <c r="J153" s="262">
        <f t="shared" si="6"/>
        <v>0.0049431919717229066</v>
      </c>
      <c r="K153" s="153"/>
    </row>
    <row r="154" spans="1:10" s="160" customFormat="1" ht="15.75" customHeight="1">
      <c r="A154" s="290" t="s">
        <v>599</v>
      </c>
      <c r="B154" s="223" t="s">
        <v>674</v>
      </c>
      <c r="C154" s="257"/>
      <c r="D154" s="257" t="s">
        <v>291</v>
      </c>
      <c r="E154" s="257"/>
      <c r="F154" s="297">
        <f>F155+F156+F157</f>
        <v>652058</v>
      </c>
      <c r="G154" s="297">
        <f>G155+G156+G157</f>
        <v>18821</v>
      </c>
      <c r="H154" s="291">
        <f t="shared" si="7"/>
        <v>2.8863996761024326</v>
      </c>
      <c r="I154" s="292">
        <f t="shared" si="8"/>
        <v>0.018553166668444993</v>
      </c>
      <c r="J154" s="292">
        <f t="shared" si="6"/>
        <v>0.0005498375713615169</v>
      </c>
    </row>
    <row r="155" spans="1:10" s="160" customFormat="1" ht="15.75" customHeight="1">
      <c r="A155" s="123"/>
      <c r="B155" s="129" t="s">
        <v>663</v>
      </c>
      <c r="C155" s="18"/>
      <c r="D155" s="18"/>
      <c r="E155" s="233" t="s">
        <v>807</v>
      </c>
      <c r="F155" s="275">
        <v>18821</v>
      </c>
      <c r="G155" s="275">
        <v>18821</v>
      </c>
      <c r="H155" s="168">
        <f t="shared" si="7"/>
        <v>100</v>
      </c>
      <c r="I155" s="302">
        <f t="shared" si="8"/>
        <v>0.0005355185426247408</v>
      </c>
      <c r="J155" s="302">
        <f t="shared" si="6"/>
        <v>0.0005498375713615169</v>
      </c>
    </row>
    <row r="156" spans="1:10" s="160" customFormat="1" ht="24" customHeight="1">
      <c r="A156" s="123"/>
      <c r="B156" s="129" t="s">
        <v>510</v>
      </c>
      <c r="C156" s="18"/>
      <c r="D156" s="18"/>
      <c r="E156" s="233" t="s">
        <v>644</v>
      </c>
      <c r="F156" s="275">
        <v>53973</v>
      </c>
      <c r="G156" s="275">
        <v>0</v>
      </c>
      <c r="H156" s="168">
        <f t="shared" si="7"/>
        <v>0</v>
      </c>
      <c r="I156" s="302">
        <f t="shared" si="8"/>
        <v>0.0015357070453793707</v>
      </c>
      <c r="J156" s="302">
        <f t="shared" si="6"/>
        <v>0</v>
      </c>
    </row>
    <row r="157" spans="1:10" ht="20.25" customHeight="1">
      <c r="A157" s="123"/>
      <c r="B157" s="129" t="s">
        <v>509</v>
      </c>
      <c r="C157" s="18"/>
      <c r="D157" s="18"/>
      <c r="E157" s="233" t="s">
        <v>645</v>
      </c>
      <c r="F157" s="276">
        <v>579264</v>
      </c>
      <c r="G157" s="276">
        <v>0</v>
      </c>
      <c r="H157" s="168">
        <f t="shared" si="7"/>
        <v>0</v>
      </c>
      <c r="I157" s="302">
        <f t="shared" si="8"/>
        <v>0.016481941080440883</v>
      </c>
      <c r="J157" s="302">
        <f t="shared" si="6"/>
        <v>0</v>
      </c>
    </row>
    <row r="158" spans="1:10" s="27" customFormat="1" ht="17.25" customHeight="1">
      <c r="A158" s="290" t="s">
        <v>604</v>
      </c>
      <c r="B158" s="298" t="s">
        <v>340</v>
      </c>
      <c r="C158" s="257"/>
      <c r="D158" s="257" t="s">
        <v>339</v>
      </c>
      <c r="E158" s="257"/>
      <c r="F158" s="277">
        <f>F159+F160+F161+F162</f>
        <v>177415</v>
      </c>
      <c r="G158" s="277">
        <f>G159+G160+G161+G162</f>
        <v>150385</v>
      </c>
      <c r="H158" s="291">
        <f t="shared" si="7"/>
        <v>84.76453512949863</v>
      </c>
      <c r="I158" s="292">
        <f t="shared" si="8"/>
        <v>0.0050480326358731415</v>
      </c>
      <c r="J158" s="292">
        <f t="shared" si="6"/>
        <v>0.004393354400361389</v>
      </c>
    </row>
    <row r="159" spans="1:10" ht="18.75" customHeight="1">
      <c r="A159" s="221"/>
      <c r="B159" s="129" t="s">
        <v>370</v>
      </c>
      <c r="C159" s="238"/>
      <c r="D159" s="24"/>
      <c r="E159" s="233" t="s">
        <v>369</v>
      </c>
      <c r="F159" s="268">
        <v>22500</v>
      </c>
      <c r="G159" s="268">
        <v>0</v>
      </c>
      <c r="H159" s="168">
        <f t="shared" si="7"/>
        <v>0</v>
      </c>
      <c r="I159" s="302">
        <f t="shared" si="8"/>
        <v>0.0006401980345920338</v>
      </c>
      <c r="J159" s="302">
        <f t="shared" si="6"/>
        <v>0</v>
      </c>
    </row>
    <row r="160" spans="1:10" ht="16.5" customHeight="1">
      <c r="A160" s="123"/>
      <c r="B160" s="129" t="s">
        <v>603</v>
      </c>
      <c r="C160" s="18"/>
      <c r="D160" s="18"/>
      <c r="E160" s="233" t="s">
        <v>803</v>
      </c>
      <c r="F160" s="268">
        <v>85</v>
      </c>
      <c r="G160" s="268">
        <v>180</v>
      </c>
      <c r="H160" s="168">
        <f t="shared" si="7"/>
        <v>211.76470588235296</v>
      </c>
      <c r="I160" s="302">
        <f t="shared" si="8"/>
        <v>2.4185259084587943E-06</v>
      </c>
      <c r="J160" s="302">
        <f t="shared" si="6"/>
        <v>5.258528390897032E-06</v>
      </c>
    </row>
    <row r="161" spans="1:10" ht="15" customHeight="1">
      <c r="A161" s="123"/>
      <c r="B161" s="129" t="s">
        <v>663</v>
      </c>
      <c r="C161" s="18"/>
      <c r="D161" s="18"/>
      <c r="E161" s="233" t="s">
        <v>807</v>
      </c>
      <c r="F161" s="268">
        <v>14030</v>
      </c>
      <c r="G161" s="268">
        <v>0</v>
      </c>
      <c r="H161" s="168">
        <f t="shared" si="7"/>
        <v>0</v>
      </c>
      <c r="I161" s="302">
        <f t="shared" si="8"/>
        <v>0.0003991990411256104</v>
      </c>
      <c r="J161" s="302">
        <f t="shared" si="6"/>
        <v>0</v>
      </c>
    </row>
    <row r="162" spans="1:10" s="27" customFormat="1" ht="20.25" customHeight="1">
      <c r="A162" s="221"/>
      <c r="B162" s="129" t="s">
        <v>461</v>
      </c>
      <c r="C162" s="79"/>
      <c r="D162" s="79"/>
      <c r="E162" s="232">
        <v>2690</v>
      </c>
      <c r="F162" s="268">
        <v>140800</v>
      </c>
      <c r="G162" s="268">
        <v>150205</v>
      </c>
      <c r="H162" s="168">
        <f t="shared" si="7"/>
        <v>106.67968750000001</v>
      </c>
      <c r="I162" s="302">
        <f t="shared" si="8"/>
        <v>0.004006217034247038</v>
      </c>
      <c r="J162" s="302">
        <f t="shared" si="6"/>
        <v>0.004388095871970492</v>
      </c>
    </row>
    <row r="163" spans="1:10" s="27" customFormat="1" ht="16.5" customHeight="1">
      <c r="A163" s="290" t="s">
        <v>670</v>
      </c>
      <c r="B163" s="223" t="s">
        <v>72</v>
      </c>
      <c r="C163" s="246"/>
      <c r="D163" s="246">
        <v>85395</v>
      </c>
      <c r="E163" s="246"/>
      <c r="F163" s="277">
        <f>F164+F165+F166</f>
        <v>326405</v>
      </c>
      <c r="G163" s="277">
        <f>G164+G165+G166</f>
        <v>0</v>
      </c>
      <c r="H163" s="291">
        <f t="shared" si="7"/>
        <v>0</v>
      </c>
      <c r="I163" s="292">
        <f t="shared" si="8"/>
        <v>0.00928728175471168</v>
      </c>
      <c r="J163" s="292">
        <f t="shared" si="6"/>
        <v>0</v>
      </c>
    </row>
    <row r="164" spans="1:10" ht="17.25" customHeight="1">
      <c r="A164" s="226"/>
      <c r="B164" s="129" t="s">
        <v>603</v>
      </c>
      <c r="C164" s="248"/>
      <c r="D164" s="250"/>
      <c r="E164" s="247" t="s">
        <v>803</v>
      </c>
      <c r="F164" s="268">
        <v>15</v>
      </c>
      <c r="G164" s="268">
        <v>0</v>
      </c>
      <c r="H164" s="168">
        <f t="shared" si="7"/>
        <v>0</v>
      </c>
      <c r="I164" s="302">
        <f t="shared" si="8"/>
        <v>4.2679868972802253E-07</v>
      </c>
      <c r="J164" s="302">
        <f t="shared" si="6"/>
        <v>0</v>
      </c>
    </row>
    <row r="165" spans="1:10" ht="21.75" customHeight="1">
      <c r="A165" s="221"/>
      <c r="B165" s="129" t="s">
        <v>646</v>
      </c>
      <c r="C165" s="79"/>
      <c r="D165" s="79"/>
      <c r="E165" s="232">
        <v>2888</v>
      </c>
      <c r="F165" s="268">
        <v>244790</v>
      </c>
      <c r="G165" s="268">
        <v>0</v>
      </c>
      <c r="H165" s="168">
        <f t="shared" si="7"/>
        <v>0</v>
      </c>
      <c r="I165" s="302">
        <f t="shared" si="8"/>
        <v>0.006965070083901509</v>
      </c>
      <c r="J165" s="302">
        <f t="shared" si="6"/>
        <v>0</v>
      </c>
    </row>
    <row r="166" spans="1:10" s="27" customFormat="1" ht="30.75" customHeight="1">
      <c r="A166" s="221"/>
      <c r="B166" s="129" t="s">
        <v>646</v>
      </c>
      <c r="C166" s="79"/>
      <c r="D166" s="79"/>
      <c r="E166" s="232">
        <v>2889</v>
      </c>
      <c r="F166" s="268">
        <v>81600</v>
      </c>
      <c r="G166" s="268">
        <v>0</v>
      </c>
      <c r="H166" s="168">
        <f t="shared" si="7"/>
        <v>0</v>
      </c>
      <c r="I166" s="302">
        <f t="shared" si="8"/>
        <v>0.0023217848721204426</v>
      </c>
      <c r="J166" s="302">
        <f t="shared" si="6"/>
        <v>0</v>
      </c>
    </row>
    <row r="167" spans="1:10" s="27" customFormat="1" ht="28.5" customHeight="1">
      <c r="A167" s="219" t="s">
        <v>647</v>
      </c>
      <c r="B167" s="254" t="s">
        <v>675</v>
      </c>
      <c r="C167" s="234" t="s">
        <v>342</v>
      </c>
      <c r="D167" s="239"/>
      <c r="E167" s="240"/>
      <c r="F167" s="255">
        <f>F168+F174+F178+F184</f>
        <v>1483470</v>
      </c>
      <c r="G167" s="255">
        <f>G168+G174+G178+G184</f>
        <v>582870</v>
      </c>
      <c r="H167" s="261">
        <f t="shared" si="7"/>
        <v>39.29098667313798</v>
      </c>
      <c r="I167" s="262">
        <f t="shared" si="8"/>
        <v>0.042209536816721974</v>
      </c>
      <c r="J167" s="262">
        <f t="shared" si="6"/>
        <v>0.01702799135112307</v>
      </c>
    </row>
    <row r="168" spans="1:10" s="27" customFormat="1" ht="24" customHeight="1">
      <c r="A168" s="290" t="s">
        <v>599</v>
      </c>
      <c r="B168" s="223" t="s">
        <v>345</v>
      </c>
      <c r="C168" s="257"/>
      <c r="D168" s="257" t="s">
        <v>344</v>
      </c>
      <c r="E168" s="257"/>
      <c r="F168" s="277">
        <f>F169+F170+F172+F173++F171</f>
        <v>103923</v>
      </c>
      <c r="G168" s="277">
        <f>G169+G170+G172+G173++G171</f>
        <v>130000</v>
      </c>
      <c r="H168" s="291">
        <f t="shared" si="7"/>
        <v>125.09261664886502</v>
      </c>
      <c r="I168" s="292">
        <f t="shared" si="8"/>
        <v>0.002956946682173686</v>
      </c>
      <c r="J168" s="292">
        <f t="shared" si="6"/>
        <v>0.0037978260600923007</v>
      </c>
    </row>
    <row r="169" spans="1:10" ht="21.75" customHeight="1">
      <c r="A169" s="123"/>
      <c r="B169" s="129" t="s">
        <v>410</v>
      </c>
      <c r="C169" s="18"/>
      <c r="D169" s="18"/>
      <c r="E169" s="233" t="s">
        <v>409</v>
      </c>
      <c r="F169" s="273">
        <v>42700</v>
      </c>
      <c r="G169" s="273">
        <v>42000</v>
      </c>
      <c r="H169" s="168">
        <f t="shared" si="7"/>
        <v>98.36065573770492</v>
      </c>
      <c r="I169" s="302">
        <f t="shared" si="8"/>
        <v>0.001214953603425771</v>
      </c>
      <c r="J169" s="302">
        <f t="shared" si="6"/>
        <v>0.001226989957875974</v>
      </c>
    </row>
    <row r="170" spans="1:10" ht="27" customHeight="1">
      <c r="A170" s="123"/>
      <c r="B170" s="129" t="s">
        <v>867</v>
      </c>
      <c r="C170" s="18"/>
      <c r="D170" s="18"/>
      <c r="E170" s="247" t="s">
        <v>805</v>
      </c>
      <c r="F170" s="282">
        <v>42685</v>
      </c>
      <c r="G170" s="282">
        <v>77200</v>
      </c>
      <c r="H170" s="168">
        <f t="shared" si="7"/>
        <v>180.85978681035493</v>
      </c>
      <c r="I170" s="302">
        <f t="shared" si="8"/>
        <v>0.0012145268047360428</v>
      </c>
      <c r="J170" s="302">
        <f t="shared" si="6"/>
        <v>0.0022553243987625047</v>
      </c>
    </row>
    <row r="171" spans="1:10" ht="20.25" customHeight="1">
      <c r="A171" s="123"/>
      <c r="B171" s="129" t="s">
        <v>648</v>
      </c>
      <c r="C171" s="18"/>
      <c r="D171" s="18"/>
      <c r="E171" s="233" t="s">
        <v>369</v>
      </c>
      <c r="F171" s="210">
        <v>2738</v>
      </c>
      <c r="G171" s="282"/>
      <c r="H171" s="168">
        <f t="shared" si="7"/>
        <v>0</v>
      </c>
      <c r="I171" s="302">
        <f t="shared" si="8"/>
        <v>7.790498749835505E-05</v>
      </c>
      <c r="J171" s="302">
        <f t="shared" si="6"/>
        <v>0</v>
      </c>
    </row>
    <row r="172" spans="1:10" ht="17.25" customHeight="1">
      <c r="A172" s="123"/>
      <c r="B172" s="129" t="s">
        <v>603</v>
      </c>
      <c r="C172" s="18"/>
      <c r="D172" s="18"/>
      <c r="E172" s="233" t="s">
        <v>803</v>
      </c>
      <c r="F172" s="210">
        <v>800</v>
      </c>
      <c r="G172" s="282">
        <v>800</v>
      </c>
      <c r="H172" s="168">
        <f t="shared" si="7"/>
        <v>100</v>
      </c>
      <c r="I172" s="302">
        <f t="shared" si="8"/>
        <v>2.2762596785494537E-05</v>
      </c>
      <c r="J172" s="302">
        <f t="shared" si="6"/>
        <v>2.3371237292875698E-05</v>
      </c>
    </row>
    <row r="173" spans="1:10" ht="18.75" customHeight="1">
      <c r="A173" s="123"/>
      <c r="B173" s="129" t="s">
        <v>663</v>
      </c>
      <c r="C173" s="18"/>
      <c r="D173" s="18"/>
      <c r="E173" s="233" t="s">
        <v>807</v>
      </c>
      <c r="F173" s="210">
        <v>15000</v>
      </c>
      <c r="G173" s="282">
        <v>10000</v>
      </c>
      <c r="H173" s="168">
        <f t="shared" si="7"/>
        <v>66.66666666666666</v>
      </c>
      <c r="I173" s="302">
        <f t="shared" si="8"/>
        <v>0.0004267986897280225</v>
      </c>
      <c r="J173" s="302">
        <f t="shared" si="6"/>
        <v>0.0002921404661609462</v>
      </c>
    </row>
    <row r="174" spans="1:10" ht="25.5" customHeight="1">
      <c r="A174" s="290" t="s">
        <v>604</v>
      </c>
      <c r="B174" s="223" t="s">
        <v>828</v>
      </c>
      <c r="C174" s="257"/>
      <c r="D174" s="257" t="s">
        <v>348</v>
      </c>
      <c r="E174" s="257"/>
      <c r="F174" s="299">
        <f>F175+F176+F177</f>
        <v>13817</v>
      </c>
      <c r="G174" s="299">
        <f>G175+G176+G177</f>
        <v>100</v>
      </c>
      <c r="H174" s="291">
        <f t="shared" si="7"/>
        <v>0.7237461098646595</v>
      </c>
      <c r="I174" s="292">
        <f t="shared" si="8"/>
        <v>0.0003931384997314725</v>
      </c>
      <c r="J174" s="292">
        <f t="shared" si="6"/>
        <v>2.921404661609462E-06</v>
      </c>
    </row>
    <row r="175" spans="1:10" ht="23.25" customHeight="1">
      <c r="A175" s="123"/>
      <c r="B175" s="129" t="s">
        <v>867</v>
      </c>
      <c r="C175" s="18"/>
      <c r="D175" s="18"/>
      <c r="E175" s="233" t="s">
        <v>805</v>
      </c>
      <c r="F175" s="211">
        <v>13767</v>
      </c>
      <c r="G175" s="281">
        <v>0</v>
      </c>
      <c r="H175" s="168">
        <f t="shared" si="7"/>
        <v>0</v>
      </c>
      <c r="I175" s="302">
        <f t="shared" si="8"/>
        <v>0.0003917158374323791</v>
      </c>
      <c r="J175" s="302">
        <f t="shared" si="6"/>
        <v>0</v>
      </c>
    </row>
    <row r="176" spans="1:10" ht="18.75" customHeight="1">
      <c r="A176" s="123"/>
      <c r="B176" s="129" t="s">
        <v>609</v>
      </c>
      <c r="C176" s="18"/>
      <c r="D176" s="18"/>
      <c r="E176" s="233" t="s">
        <v>806</v>
      </c>
      <c r="F176" s="211">
        <v>0</v>
      </c>
      <c r="G176" s="281">
        <v>0</v>
      </c>
      <c r="H176" s="168">
        <v>0</v>
      </c>
      <c r="I176" s="302">
        <f t="shared" si="8"/>
        <v>0</v>
      </c>
      <c r="J176" s="302">
        <f t="shared" si="6"/>
        <v>0</v>
      </c>
    </row>
    <row r="177" spans="1:10" ht="21" customHeight="1">
      <c r="A177" s="123"/>
      <c r="B177" s="129" t="s">
        <v>603</v>
      </c>
      <c r="C177" s="18"/>
      <c r="D177" s="18"/>
      <c r="E177" s="233" t="s">
        <v>803</v>
      </c>
      <c r="F177" s="211">
        <v>50</v>
      </c>
      <c r="G177" s="281">
        <v>100</v>
      </c>
      <c r="H177" s="168">
        <f t="shared" si="7"/>
        <v>200</v>
      </c>
      <c r="I177" s="302">
        <f t="shared" si="8"/>
        <v>1.4226622990934086E-06</v>
      </c>
      <c r="J177" s="302">
        <f t="shared" si="6"/>
        <v>2.921404661609462E-06</v>
      </c>
    </row>
    <row r="178" spans="1:10" ht="27" customHeight="1">
      <c r="A178" s="290" t="s">
        <v>670</v>
      </c>
      <c r="B178" s="223" t="s">
        <v>351</v>
      </c>
      <c r="C178" s="257"/>
      <c r="D178" s="257" t="s">
        <v>350</v>
      </c>
      <c r="E178" s="257"/>
      <c r="F178" s="270">
        <f>F179+F180+F181+F182+F183</f>
        <v>517197</v>
      </c>
      <c r="G178" s="270">
        <f>G179+G180+G181+G182+G183</f>
        <v>252200</v>
      </c>
      <c r="H178" s="291">
        <f t="shared" si="7"/>
        <v>48.76285051924122</v>
      </c>
      <c r="I178" s="292">
        <f t="shared" si="8"/>
        <v>0.01471593346208427</v>
      </c>
      <c r="J178" s="292">
        <f t="shared" si="6"/>
        <v>0.007367782556579063</v>
      </c>
    </row>
    <row r="179" spans="1:10" ht="23.25" customHeight="1">
      <c r="A179" s="123"/>
      <c r="B179" s="129" t="s">
        <v>608</v>
      </c>
      <c r="C179" s="18"/>
      <c r="D179" s="18"/>
      <c r="E179" s="233" t="s">
        <v>805</v>
      </c>
      <c r="F179" s="211">
        <v>106146</v>
      </c>
      <c r="G179" s="281">
        <v>120900</v>
      </c>
      <c r="H179" s="168">
        <f t="shared" si="7"/>
        <v>113.89972302300603</v>
      </c>
      <c r="I179" s="302">
        <f t="shared" si="8"/>
        <v>0.0030201982479913787</v>
      </c>
      <c r="J179" s="302">
        <f t="shared" si="6"/>
        <v>0.0035319782358858394</v>
      </c>
    </row>
    <row r="180" spans="1:10" ht="18" customHeight="1">
      <c r="A180" s="123"/>
      <c r="B180" s="216" t="s">
        <v>609</v>
      </c>
      <c r="C180" s="18"/>
      <c r="D180" s="18"/>
      <c r="E180" s="233" t="s">
        <v>806</v>
      </c>
      <c r="F180" s="211">
        <v>92250</v>
      </c>
      <c r="G180" s="211">
        <v>127600</v>
      </c>
      <c r="H180" s="168">
        <f t="shared" si="7"/>
        <v>138.31978319783198</v>
      </c>
      <c r="I180" s="302">
        <f t="shared" si="8"/>
        <v>0.0026248119418273387</v>
      </c>
      <c r="J180" s="302">
        <f t="shared" si="6"/>
        <v>0.0037277123482136734</v>
      </c>
    </row>
    <row r="181" spans="1:10" ht="17.25" customHeight="1">
      <c r="A181" s="123"/>
      <c r="B181" s="216" t="s">
        <v>603</v>
      </c>
      <c r="C181" s="18"/>
      <c r="D181" s="18"/>
      <c r="E181" s="233" t="s">
        <v>803</v>
      </c>
      <c r="F181" s="211">
        <v>100</v>
      </c>
      <c r="G181" s="211">
        <v>200</v>
      </c>
      <c r="H181" s="168">
        <f t="shared" si="7"/>
        <v>200</v>
      </c>
      <c r="I181" s="302">
        <f t="shared" si="8"/>
        <v>2.845324598186817E-06</v>
      </c>
      <c r="J181" s="302">
        <f t="shared" si="6"/>
        <v>5.842809323218924E-06</v>
      </c>
    </row>
    <row r="182" spans="1:10" ht="17.25" customHeight="1">
      <c r="A182" s="123"/>
      <c r="B182" s="216" t="s">
        <v>663</v>
      </c>
      <c r="C182" s="18"/>
      <c r="D182" s="18"/>
      <c r="E182" s="233" t="s">
        <v>807</v>
      </c>
      <c r="F182" s="211">
        <v>16874</v>
      </c>
      <c r="G182" s="211">
        <v>3500</v>
      </c>
      <c r="H182" s="168">
        <f t="shared" si="7"/>
        <v>20.741969894512266</v>
      </c>
      <c r="I182" s="302">
        <f t="shared" si="8"/>
        <v>0.0004801200726980435</v>
      </c>
      <c r="J182" s="302">
        <f t="shared" si="6"/>
        <v>0.00010224916315633117</v>
      </c>
    </row>
    <row r="183" spans="1:10" ht="24" customHeight="1">
      <c r="A183" s="221"/>
      <c r="B183" s="216" t="s">
        <v>507</v>
      </c>
      <c r="C183" s="238"/>
      <c r="D183" s="238"/>
      <c r="E183" s="233" t="s">
        <v>752</v>
      </c>
      <c r="F183" s="211">
        <v>301827</v>
      </c>
      <c r="G183" s="211">
        <v>0</v>
      </c>
      <c r="H183" s="168">
        <f t="shared" si="7"/>
        <v>0</v>
      </c>
      <c r="I183" s="302">
        <f t="shared" si="8"/>
        <v>0.008587957874969325</v>
      </c>
      <c r="J183" s="302">
        <f t="shared" si="6"/>
        <v>0</v>
      </c>
    </row>
    <row r="184" spans="1:10" ht="26.25" customHeight="1">
      <c r="A184" s="290" t="s">
        <v>672</v>
      </c>
      <c r="B184" s="223" t="s">
        <v>649</v>
      </c>
      <c r="C184" s="257"/>
      <c r="D184" s="257" t="s">
        <v>352</v>
      </c>
      <c r="E184" s="269"/>
      <c r="F184" s="270">
        <f>F185+F186+F187+F188</f>
        <v>848533</v>
      </c>
      <c r="G184" s="270">
        <f>G185+G186+G187+G188</f>
        <v>200570</v>
      </c>
      <c r="H184" s="291">
        <f t="shared" si="7"/>
        <v>23.637265728027078</v>
      </c>
      <c r="I184" s="292">
        <f t="shared" si="8"/>
        <v>0.024143518172732543</v>
      </c>
      <c r="J184" s="292">
        <f t="shared" si="6"/>
        <v>0.005859461329790098</v>
      </c>
    </row>
    <row r="185" spans="1:10" ht="24.75" customHeight="1">
      <c r="A185" s="312"/>
      <c r="B185" s="216" t="s">
        <v>603</v>
      </c>
      <c r="C185" s="249"/>
      <c r="D185" s="249"/>
      <c r="E185" s="247" t="s">
        <v>803</v>
      </c>
      <c r="F185" s="210">
        <v>75</v>
      </c>
      <c r="G185" s="210">
        <v>40</v>
      </c>
      <c r="H185" s="311">
        <f t="shared" si="7"/>
        <v>53.333333333333336</v>
      </c>
      <c r="I185" s="279">
        <f t="shared" si="8"/>
        <v>2.1339934486401127E-06</v>
      </c>
      <c r="J185" s="279">
        <f t="shared" si="6"/>
        <v>1.1685618646437847E-06</v>
      </c>
    </row>
    <row r="186" spans="1:10" ht="22.5" customHeight="1">
      <c r="A186" s="17"/>
      <c r="B186" s="129" t="s">
        <v>641</v>
      </c>
      <c r="C186" s="249"/>
      <c r="D186" s="249"/>
      <c r="E186" s="247" t="s">
        <v>637</v>
      </c>
      <c r="F186" s="210">
        <v>311600</v>
      </c>
      <c r="G186" s="210">
        <v>0</v>
      </c>
      <c r="H186" s="311">
        <f t="shared" si="7"/>
        <v>0</v>
      </c>
      <c r="I186" s="279">
        <f t="shared" si="8"/>
        <v>0.008866031447950121</v>
      </c>
      <c r="J186" s="279">
        <f t="shared" si="6"/>
        <v>0</v>
      </c>
    </row>
    <row r="187" spans="1:10" ht="54.75" customHeight="1">
      <c r="A187" s="15"/>
      <c r="B187" s="129" t="s">
        <v>712</v>
      </c>
      <c r="C187" s="40"/>
      <c r="D187" s="40"/>
      <c r="E187" s="232">
        <v>2888</v>
      </c>
      <c r="F187" s="210">
        <v>365064</v>
      </c>
      <c r="G187" s="210">
        <v>136360</v>
      </c>
      <c r="H187" s="311">
        <f t="shared" si="7"/>
        <v>37.35235465562203</v>
      </c>
      <c r="I187" s="279">
        <f t="shared" si="8"/>
        <v>0.010387255791124721</v>
      </c>
      <c r="J187" s="279">
        <f t="shared" si="6"/>
        <v>0.003983627396570663</v>
      </c>
    </row>
    <row r="188" spans="1:10" ht="57" customHeight="1">
      <c r="A188" s="15"/>
      <c r="B188" s="129" t="s">
        <v>712</v>
      </c>
      <c r="C188" s="40"/>
      <c r="D188" s="40"/>
      <c r="E188" s="232">
        <v>2889</v>
      </c>
      <c r="F188" s="210">
        <v>171794</v>
      </c>
      <c r="G188" s="210">
        <v>64170</v>
      </c>
      <c r="H188" s="311">
        <f t="shared" si="7"/>
        <v>37.35287611907284</v>
      </c>
      <c r="I188" s="279">
        <f t="shared" si="8"/>
        <v>0.0048880969402090605</v>
      </c>
      <c r="J188" s="279">
        <f t="shared" si="6"/>
        <v>0.0018746653713547917</v>
      </c>
    </row>
    <row r="189" spans="1:10" ht="29.25" customHeight="1">
      <c r="A189" s="219" t="s">
        <v>650</v>
      </c>
      <c r="B189" s="254" t="s">
        <v>463</v>
      </c>
      <c r="C189" s="241">
        <v>900</v>
      </c>
      <c r="D189" s="241"/>
      <c r="E189" s="224"/>
      <c r="F189" s="265">
        <f>F190</f>
        <v>67350</v>
      </c>
      <c r="G189" s="265">
        <f>G190</f>
        <v>0</v>
      </c>
      <c r="H189" s="261">
        <f t="shared" si="7"/>
        <v>0</v>
      </c>
      <c r="I189" s="262">
        <f t="shared" si="8"/>
        <v>0.0019163261168788212</v>
      </c>
      <c r="J189" s="262">
        <f t="shared" si="6"/>
        <v>0</v>
      </c>
    </row>
    <row r="190" spans="1:10" s="27" customFormat="1" ht="24" customHeight="1">
      <c r="A190" s="290" t="s">
        <v>599</v>
      </c>
      <c r="B190" s="223" t="s">
        <v>462</v>
      </c>
      <c r="C190" s="246"/>
      <c r="D190" s="246">
        <v>90011</v>
      </c>
      <c r="E190" s="223"/>
      <c r="F190" s="299">
        <f>F191+F192</f>
        <v>67350</v>
      </c>
      <c r="G190" s="299">
        <f>G191+G192</f>
        <v>0</v>
      </c>
      <c r="H190" s="291">
        <f t="shared" si="7"/>
        <v>0</v>
      </c>
      <c r="I190" s="292">
        <f t="shared" si="8"/>
        <v>0.0019163261168788212</v>
      </c>
      <c r="J190" s="292">
        <f t="shared" si="6"/>
        <v>0</v>
      </c>
    </row>
    <row r="191" spans="1:10" s="27" customFormat="1" ht="21.75" customHeight="1">
      <c r="A191" s="218"/>
      <c r="B191" s="129" t="s">
        <v>510</v>
      </c>
      <c r="C191" s="79"/>
      <c r="D191" s="79"/>
      <c r="E191" s="232">
        <v>2440</v>
      </c>
      <c r="F191" s="213">
        <v>22350</v>
      </c>
      <c r="G191" s="213">
        <v>0</v>
      </c>
      <c r="H191" s="168">
        <f t="shared" si="7"/>
        <v>0</v>
      </c>
      <c r="I191" s="302">
        <f t="shared" si="8"/>
        <v>0.0006359300476947536</v>
      </c>
      <c r="J191" s="302">
        <f t="shared" si="6"/>
        <v>0</v>
      </c>
    </row>
    <row r="192" spans="1:10" s="27" customFormat="1" ht="33" customHeight="1" thickBot="1">
      <c r="A192" s="284"/>
      <c r="B192" s="131" t="s">
        <v>509</v>
      </c>
      <c r="C192" s="80"/>
      <c r="D192" s="80"/>
      <c r="E192" s="285">
        <v>6260</v>
      </c>
      <c r="F192" s="283">
        <v>45000</v>
      </c>
      <c r="G192" s="283">
        <v>0</v>
      </c>
      <c r="H192" s="304">
        <f t="shared" si="7"/>
        <v>0</v>
      </c>
      <c r="I192" s="310">
        <f t="shared" si="8"/>
        <v>0.0012803960691840676</v>
      </c>
      <c r="J192" s="310">
        <f t="shared" si="6"/>
        <v>0</v>
      </c>
    </row>
    <row r="193" spans="1:11" ht="18.75" customHeight="1" thickBot="1">
      <c r="A193" s="308"/>
      <c r="B193" s="286" t="s">
        <v>729</v>
      </c>
      <c r="C193" s="309"/>
      <c r="D193" s="309"/>
      <c r="E193" s="309"/>
      <c r="F193" s="287">
        <f>F17+F26+F29+F40+F48+F56+F67+F70+F80+F84+F96+F109+F114+F124+F153+F167+F189</f>
        <v>35145375</v>
      </c>
      <c r="G193" s="287">
        <f>G17+G26+G29+G40+G48+G56+G67+G70+G80+G84+G96+G109+G114+G124+G153+G167+G189</f>
        <v>34230109</v>
      </c>
      <c r="H193" s="288">
        <f t="shared" si="7"/>
        <v>97.39577113631594</v>
      </c>
      <c r="I193" s="317">
        <f t="shared" si="8"/>
        <v>1</v>
      </c>
      <c r="J193" s="303">
        <f>G193/$G$193</f>
        <v>1</v>
      </c>
      <c r="K193" s="300"/>
    </row>
    <row r="194" spans="1:10" ht="18" customHeight="1">
      <c r="A194" s="318"/>
      <c r="B194" s="647" t="s">
        <v>730</v>
      </c>
      <c r="C194" s="647"/>
      <c r="D194" s="647"/>
      <c r="E194" s="648"/>
      <c r="F194" s="315">
        <f>F195+F196+F198+F199+F200</f>
        <v>13741642</v>
      </c>
      <c r="G194" s="315">
        <f>G195+G196+G198+G199+G200</f>
        <v>11020591</v>
      </c>
      <c r="H194" s="258">
        <f t="shared" si="7"/>
        <v>80.19850175110078</v>
      </c>
      <c r="I194" s="259">
        <f t="shared" si="8"/>
        <v>0.3909943200207709</v>
      </c>
      <c r="J194" s="259">
        <f aca="true" t="shared" si="9" ref="J194:J201">G194/$G$193</f>
        <v>0.3219560592109128</v>
      </c>
    </row>
    <row r="195" spans="1:10" ht="18.75" customHeight="1">
      <c r="A195" s="17"/>
      <c r="B195" s="645" t="s">
        <v>813</v>
      </c>
      <c r="C195" s="645"/>
      <c r="D195" s="645"/>
      <c r="E195" s="646"/>
      <c r="F195" s="273">
        <f>F130+F137+F147+F150+F186</f>
        <v>1097138</v>
      </c>
      <c r="G195" s="273">
        <f>G130+G137+G147+G150+G186</f>
        <v>471000</v>
      </c>
      <c r="H195" s="267">
        <f t="shared" si="7"/>
        <v>42.92987755414542</v>
      </c>
      <c r="I195" s="305">
        <f t="shared" si="8"/>
        <v>0.03121713739005488</v>
      </c>
      <c r="J195" s="280">
        <f t="shared" si="9"/>
        <v>0.013759815956180567</v>
      </c>
    </row>
    <row r="196" spans="1:10" ht="18.75" customHeight="1">
      <c r="A196" s="17"/>
      <c r="B196" s="645" t="s">
        <v>870</v>
      </c>
      <c r="C196" s="645"/>
      <c r="D196" s="645"/>
      <c r="E196" s="646"/>
      <c r="F196" s="273">
        <f>F19+F47+F50+F52+F55+F58+F66+F69+F74+F79+F123+F129+F139+F142+F146+F152</f>
        <v>3635742</v>
      </c>
      <c r="G196" s="273">
        <f>G19+G47+G50+G52+G55+G58+G66+G69+G74+G79+G123+G129+G139+G142+G146+G152</f>
        <v>3459804</v>
      </c>
      <c r="H196" s="267">
        <f t="shared" si="7"/>
        <v>95.1608777520517</v>
      </c>
      <c r="I196" s="305">
        <f t="shared" si="8"/>
        <v>0.10344866145260934</v>
      </c>
      <c r="J196" s="280">
        <f t="shared" si="9"/>
        <v>0.10107487533855063</v>
      </c>
    </row>
    <row r="197" spans="1:10" ht="16.5" customHeight="1" hidden="1">
      <c r="A197" s="17"/>
      <c r="B197" s="306" t="s">
        <v>732</v>
      </c>
      <c r="C197" s="210"/>
      <c r="D197" s="210"/>
      <c r="E197" s="210"/>
      <c r="F197" s="268" t="e">
        <f>#REF!+#REF!-#REF!</f>
        <v>#REF!</v>
      </c>
      <c r="G197" s="210"/>
      <c r="H197" s="267" t="e">
        <f t="shared" si="7"/>
        <v>#REF!</v>
      </c>
      <c r="I197" s="305" t="e">
        <f t="shared" si="8"/>
        <v>#REF!</v>
      </c>
      <c r="J197" s="280">
        <f t="shared" si="9"/>
        <v>0</v>
      </c>
    </row>
    <row r="198" spans="1:10" ht="17.25" customHeight="1">
      <c r="A198" s="17"/>
      <c r="B198" s="643" t="s">
        <v>823</v>
      </c>
      <c r="C198" s="643"/>
      <c r="D198" s="643"/>
      <c r="E198" s="644"/>
      <c r="F198" s="273">
        <f>F38+F39+F75+F76+F77+F108+F112+F113+F121+F131+F143+F165+F166+F187+F188</f>
        <v>2237591</v>
      </c>
      <c r="G198" s="273">
        <f>G38+G39+G75+G76+G77+G108+G112+G113+G121+G131+G143+G165+G166+G187+G188</f>
        <v>1653121</v>
      </c>
      <c r="H198" s="267">
        <f t="shared" si="7"/>
        <v>73.87949808521755</v>
      </c>
      <c r="I198" s="305">
        <f t="shared" si="8"/>
        <v>0.06366672712981437</v>
      </c>
      <c r="J198" s="280">
        <f t="shared" si="9"/>
        <v>0.04829435395604496</v>
      </c>
    </row>
    <row r="199" spans="1:10" ht="21" customHeight="1">
      <c r="A199" s="17"/>
      <c r="B199" s="643" t="s">
        <v>174</v>
      </c>
      <c r="C199" s="643"/>
      <c r="D199" s="643"/>
      <c r="E199" s="644"/>
      <c r="F199" s="307">
        <f>F23+F156+F157+F191+F192+F162</f>
        <v>899038</v>
      </c>
      <c r="G199" s="307">
        <f>G23+G156+G157+G191+G192+G162</f>
        <v>150205</v>
      </c>
      <c r="H199" s="267">
        <f t="shared" si="7"/>
        <v>16.70730269465807</v>
      </c>
      <c r="I199" s="305">
        <f t="shared" si="8"/>
        <v>0.025580549361046794</v>
      </c>
      <c r="J199" s="280">
        <f t="shared" si="9"/>
        <v>0.004388095871970492</v>
      </c>
    </row>
    <row r="200" spans="1:10" ht="21.75" customHeight="1">
      <c r="A200" s="35"/>
      <c r="B200" s="641" t="s">
        <v>824</v>
      </c>
      <c r="C200" s="641"/>
      <c r="D200" s="641"/>
      <c r="E200" s="642"/>
      <c r="F200" s="307">
        <f>F21+F28+F36+F37+F118+F119+F120+F183</f>
        <v>5872133</v>
      </c>
      <c r="G200" s="307">
        <f>G21+G28+G36+G37+G118+G119+G120+G183</f>
        <v>5286461</v>
      </c>
      <c r="H200" s="267">
        <f t="shared" si="7"/>
        <v>90.02624770249584</v>
      </c>
      <c r="I200" s="305">
        <f t="shared" si="8"/>
        <v>0.16708124468724547</v>
      </c>
      <c r="J200" s="280">
        <f t="shared" si="9"/>
        <v>0.15443891808816618</v>
      </c>
    </row>
    <row r="201" spans="1:10" ht="20.25" customHeight="1">
      <c r="A201" s="319"/>
      <c r="B201" s="649" t="s">
        <v>473</v>
      </c>
      <c r="C201" s="649"/>
      <c r="D201" s="649"/>
      <c r="E201" s="649"/>
      <c r="F201" s="316">
        <f>F25+F33+F34+F35+F42+F43+F44+F45+F46+F54+F60+F61+F62+F63+F64+F72+F73+F98+F99+F100+F102+F103+F104+F105+F106+F111+F116+F117+F126+F127+F128+F133+F134+F135+F136+F141+F145+F149+F155+F159+F160+F161+F164+F169+F170+F171+F172+F173+F175+F176+F177+F179+F180+F181+F182+F185+F93+F82+F83</f>
        <v>4896641</v>
      </c>
      <c r="G201" s="316">
        <f>G25+G33+G34+G35+G42+G43+G44+G45+G46+G54+G60+G61+G62+G63+G64+G72+G73+G98+G99+G100+G102+G103+G104+G105+G106+G111+G116+G117+G126+G127+G128+G133+G134+G135+G136+G141+G145+G149+G155+G159+G160+G161+G164+G169+G170+G171+G172+G173+G175+G176+G177+G179+G180+G181+G182+G185+G93+G82+G83</f>
        <v>5647270</v>
      </c>
      <c r="H201" s="258">
        <f t="shared" si="7"/>
        <v>115.32946769019826</v>
      </c>
      <c r="I201" s="256">
        <f t="shared" si="8"/>
        <v>0.13932533085790094</v>
      </c>
      <c r="J201" s="256">
        <f t="shared" si="9"/>
        <v>0.16497960903367268</v>
      </c>
    </row>
    <row r="202" spans="9:10" ht="18" customHeight="1">
      <c r="I202" s="650"/>
      <c r="J202" s="650"/>
    </row>
    <row r="203" spans="9:10" ht="14.25" customHeight="1">
      <c r="I203" s="650"/>
      <c r="J203" s="650"/>
    </row>
    <row r="204" spans="2:10" ht="14.25" customHeight="1">
      <c r="B204" t="s">
        <v>474</v>
      </c>
      <c r="I204" s="650"/>
      <c r="J204" s="650"/>
    </row>
    <row r="205" spans="9:10" ht="14.25" customHeight="1">
      <c r="I205" s="650"/>
      <c r="J205" s="650"/>
    </row>
    <row r="206" spans="9:10" ht="12.75">
      <c r="I206" s="650"/>
      <c r="J206" s="650"/>
    </row>
  </sheetData>
  <mergeCells count="17">
    <mergeCell ref="B201:E201"/>
    <mergeCell ref="I202:J206"/>
    <mergeCell ref="E2:J4"/>
    <mergeCell ref="G12:G15"/>
    <mergeCell ref="H12:H15"/>
    <mergeCell ref="I12:J14"/>
    <mergeCell ref="A6:J11"/>
    <mergeCell ref="F12:F15"/>
    <mergeCell ref="A12:A15"/>
    <mergeCell ref="C12:E14"/>
    <mergeCell ref="B12:B14"/>
    <mergeCell ref="B200:E200"/>
    <mergeCell ref="B198:E198"/>
    <mergeCell ref="B199:E199"/>
    <mergeCell ref="B196:E196"/>
    <mergeCell ref="B194:E194"/>
    <mergeCell ref="B195:E195"/>
  </mergeCells>
  <printOptions/>
  <pageMargins left="0.69" right="0.2362204724409449" top="0.6299212598425197" bottom="0.7874015748031497" header="0.4330708661417323" footer="0.5118110236220472"/>
  <pageSetup horizontalDpi="600" verticalDpi="600" orientation="portrait" paperSize="9" scale="93" r:id="rId1"/>
  <headerFooter alignWithMargins="0">
    <oddFooter>&amp;CStrona &amp;P</oddFooter>
  </headerFooter>
  <rowBreaks count="5" manualBreakCount="5">
    <brk id="47" max="9" man="1"/>
    <brk id="79" max="9" man="1"/>
    <brk id="113" max="9" man="1"/>
    <brk id="147" max="9" man="1"/>
    <brk id="17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2"/>
  <sheetViews>
    <sheetView workbookViewId="0" topLeftCell="A75">
      <selection activeCell="G88" sqref="G88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22.625" style="0" customWidth="1"/>
    <col min="5" max="5" width="14.00390625" style="0" customWidth="1"/>
    <col min="6" max="6" width="11.753906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23.25" customHeight="1">
      <c r="C1" s="811" t="s">
        <v>81</v>
      </c>
      <c r="D1" s="811"/>
      <c r="E1" s="811"/>
      <c r="F1" s="811"/>
      <c r="G1" s="811"/>
      <c r="H1" s="811"/>
      <c r="I1" s="811"/>
      <c r="J1" s="811"/>
      <c r="K1" s="811"/>
      <c r="L1" s="466"/>
    </row>
    <row r="2" spans="1:12" ht="22.5" customHeight="1">
      <c r="A2" s="812" t="s">
        <v>268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192"/>
    </row>
    <row r="3" spans="1:12" ht="22.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ht="12" customHeight="1">
      <c r="A4" s="859" t="s">
        <v>411</v>
      </c>
      <c r="B4" s="859"/>
      <c r="C4" s="859"/>
      <c r="D4" s="655" t="s">
        <v>412</v>
      </c>
      <c r="E4" s="622" t="s">
        <v>233</v>
      </c>
      <c r="F4" s="860" t="s">
        <v>442</v>
      </c>
      <c r="G4" s="861" t="s">
        <v>576</v>
      </c>
      <c r="H4" s="862"/>
      <c r="I4" s="862"/>
      <c r="J4" s="862"/>
      <c r="K4" s="863"/>
      <c r="L4" s="76"/>
    </row>
    <row r="5" spans="1:13" ht="12" customHeight="1">
      <c r="A5" s="859"/>
      <c r="B5" s="859"/>
      <c r="C5" s="859"/>
      <c r="D5" s="655"/>
      <c r="E5" s="622"/>
      <c r="F5" s="864"/>
      <c r="G5" s="622" t="s">
        <v>747</v>
      </c>
      <c r="H5" s="655" t="s">
        <v>475</v>
      </c>
      <c r="I5" s="655"/>
      <c r="J5" s="655"/>
      <c r="K5" s="860" t="s">
        <v>848</v>
      </c>
      <c r="L5" s="585"/>
      <c r="M5" s="167"/>
    </row>
    <row r="6" spans="1:13" ht="19.5" customHeight="1">
      <c r="A6" s="865" t="s">
        <v>415</v>
      </c>
      <c r="B6" s="865" t="s">
        <v>416</v>
      </c>
      <c r="C6" s="865" t="s">
        <v>905</v>
      </c>
      <c r="D6" s="655"/>
      <c r="E6" s="622"/>
      <c r="F6" s="866"/>
      <c r="G6" s="622"/>
      <c r="H6" s="867" t="s">
        <v>153</v>
      </c>
      <c r="I6" s="471" t="s">
        <v>269</v>
      </c>
      <c r="J6" s="867" t="s">
        <v>270</v>
      </c>
      <c r="K6" s="866"/>
      <c r="L6" s="585"/>
      <c r="M6" s="167"/>
    </row>
    <row r="7" spans="1:13" ht="11.25" customHeight="1">
      <c r="A7" s="101">
        <v>1</v>
      </c>
      <c r="B7" s="101">
        <v>2</v>
      </c>
      <c r="C7" s="101">
        <v>3</v>
      </c>
      <c r="D7" s="101">
        <v>4</v>
      </c>
      <c r="E7" s="477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  <c r="K7" s="101"/>
      <c r="L7" s="582"/>
      <c r="M7" s="167"/>
    </row>
    <row r="8" spans="1:13" ht="17.25" customHeight="1">
      <c r="A8" s="917"/>
      <c r="B8" s="917"/>
      <c r="C8" s="917"/>
      <c r="D8" s="182" t="s">
        <v>708</v>
      </c>
      <c r="E8" s="182">
        <f>E9+E13</f>
        <v>588578</v>
      </c>
      <c r="F8" s="182">
        <f aca="true" t="shared" si="0" ref="F8:K8">F9+F13</f>
        <v>0</v>
      </c>
      <c r="G8" s="182">
        <f t="shared" si="0"/>
        <v>0</v>
      </c>
      <c r="H8" s="182">
        <f t="shared" si="0"/>
        <v>0</v>
      </c>
      <c r="I8" s="182">
        <f t="shared" si="0"/>
        <v>0</v>
      </c>
      <c r="J8" s="182">
        <f t="shared" si="0"/>
        <v>0</v>
      </c>
      <c r="K8" s="182">
        <f t="shared" si="0"/>
        <v>0</v>
      </c>
      <c r="L8" s="583"/>
      <c r="M8" s="167"/>
    </row>
    <row r="9" spans="1:13" ht="15" customHeight="1">
      <c r="A9" s="164">
        <v>803</v>
      </c>
      <c r="B9" s="164">
        <v>80309</v>
      </c>
      <c r="C9" s="187"/>
      <c r="D9" s="186" t="s">
        <v>508</v>
      </c>
      <c r="E9" s="179">
        <f>E11+E12</f>
        <v>388048</v>
      </c>
      <c r="F9" s="179">
        <f aca="true" t="shared" si="1" ref="F9:K9">F11+F12</f>
        <v>0</v>
      </c>
      <c r="G9" s="179">
        <f t="shared" si="1"/>
        <v>0</v>
      </c>
      <c r="H9" s="179">
        <f t="shared" si="1"/>
        <v>0</v>
      </c>
      <c r="I9" s="179">
        <f t="shared" si="1"/>
        <v>0</v>
      </c>
      <c r="J9" s="179">
        <f t="shared" si="1"/>
        <v>0</v>
      </c>
      <c r="K9" s="179">
        <f t="shared" si="1"/>
        <v>0</v>
      </c>
      <c r="L9" s="583"/>
      <c r="M9" s="167"/>
    </row>
    <row r="10" spans="1:13" ht="11.25" customHeight="1">
      <c r="A10" s="5"/>
      <c r="B10" s="5"/>
      <c r="C10" s="41"/>
      <c r="D10" s="122" t="s">
        <v>475</v>
      </c>
      <c r="E10" s="41"/>
      <c r="F10" s="41"/>
      <c r="G10" s="41"/>
      <c r="H10" s="41"/>
      <c r="I10" s="41"/>
      <c r="J10" s="41"/>
      <c r="K10" s="41"/>
      <c r="L10" s="584"/>
      <c r="M10" s="167"/>
    </row>
    <row r="11" spans="1:13" ht="11.25" customHeight="1">
      <c r="A11" s="14"/>
      <c r="B11" s="14"/>
      <c r="C11" s="41">
        <v>2338</v>
      </c>
      <c r="D11" s="122" t="s">
        <v>139</v>
      </c>
      <c r="E11" s="41">
        <f>'Z 1'!G112</f>
        <v>291037</v>
      </c>
      <c r="F11" s="41"/>
      <c r="G11" s="41"/>
      <c r="H11" s="41"/>
      <c r="I11" s="41"/>
      <c r="J11" s="41"/>
      <c r="K11" s="41"/>
      <c r="L11" s="584"/>
      <c r="M11" s="167"/>
    </row>
    <row r="12" spans="1:13" ht="11.25" customHeight="1">
      <c r="A12" s="14"/>
      <c r="B12" s="14"/>
      <c r="C12" s="41">
        <v>2339</v>
      </c>
      <c r="D12" s="122" t="s">
        <v>139</v>
      </c>
      <c r="E12" s="41">
        <f>'Z 1'!G113</f>
        <v>97011</v>
      </c>
      <c r="F12" s="41"/>
      <c r="G12" s="41"/>
      <c r="H12" s="41"/>
      <c r="I12" s="41"/>
      <c r="J12" s="41"/>
      <c r="K12" s="41"/>
      <c r="L12" s="584"/>
      <c r="M12" s="167"/>
    </row>
    <row r="13" spans="1:13" ht="11.25" customHeight="1">
      <c r="A13" s="164">
        <v>854</v>
      </c>
      <c r="B13" s="164">
        <v>85415</v>
      </c>
      <c r="C13" s="187"/>
      <c r="D13" s="186" t="s">
        <v>675</v>
      </c>
      <c r="E13" s="179">
        <f>E15+E16</f>
        <v>200530</v>
      </c>
      <c r="F13" s="179">
        <f aca="true" t="shared" si="2" ref="F13:K13">F15+F16</f>
        <v>0</v>
      </c>
      <c r="G13" s="179">
        <f t="shared" si="2"/>
        <v>0</v>
      </c>
      <c r="H13" s="179">
        <f t="shared" si="2"/>
        <v>0</v>
      </c>
      <c r="I13" s="179">
        <f t="shared" si="2"/>
        <v>0</v>
      </c>
      <c r="J13" s="179">
        <f t="shared" si="2"/>
        <v>0</v>
      </c>
      <c r="K13" s="179">
        <f t="shared" si="2"/>
        <v>0</v>
      </c>
      <c r="L13" s="583"/>
      <c r="M13" s="167"/>
    </row>
    <row r="14" spans="1:13" ht="11.25" customHeight="1">
      <c r="A14" s="14"/>
      <c r="B14" s="14"/>
      <c r="C14" s="41"/>
      <c r="D14" s="122" t="s">
        <v>475</v>
      </c>
      <c r="E14" s="41"/>
      <c r="F14" s="41"/>
      <c r="G14" s="41"/>
      <c r="H14" s="41"/>
      <c r="I14" s="41"/>
      <c r="J14" s="41"/>
      <c r="K14" s="41"/>
      <c r="L14" s="584"/>
      <c r="M14" s="167"/>
    </row>
    <row r="15" spans="1:13" ht="11.25" customHeight="1">
      <c r="A15" s="14"/>
      <c r="B15" s="14"/>
      <c r="C15" s="41">
        <v>2338</v>
      </c>
      <c r="D15" s="122" t="s">
        <v>139</v>
      </c>
      <c r="E15" s="41">
        <f>'Z 1'!G187</f>
        <v>136360</v>
      </c>
      <c r="F15" s="41"/>
      <c r="G15" s="41"/>
      <c r="H15" s="41"/>
      <c r="I15" s="41"/>
      <c r="J15" s="41"/>
      <c r="K15" s="41"/>
      <c r="L15" s="584"/>
      <c r="M15" s="167"/>
    </row>
    <row r="16" spans="1:13" ht="11.25" customHeight="1">
      <c r="A16" s="14"/>
      <c r="B16" s="14"/>
      <c r="C16" s="41">
        <v>2339</v>
      </c>
      <c r="D16" s="122" t="s">
        <v>139</v>
      </c>
      <c r="E16" s="41">
        <f>'Z 1'!G188</f>
        <v>64170</v>
      </c>
      <c r="F16" s="41"/>
      <c r="G16" s="41"/>
      <c r="H16" s="41"/>
      <c r="I16" s="41"/>
      <c r="J16" s="41"/>
      <c r="K16" s="41"/>
      <c r="L16" s="584"/>
      <c r="M16" s="167"/>
    </row>
    <row r="17" spans="1:13" ht="16.5" customHeight="1">
      <c r="A17" s="917"/>
      <c r="B17" s="917"/>
      <c r="C17" s="917"/>
      <c r="D17" s="182" t="s">
        <v>709</v>
      </c>
      <c r="E17" s="182">
        <f aca="true" t="shared" si="3" ref="E17:K17">E18+E22+E25+E48+E51+E62+E72+E75+E79+E85+E88+E91</f>
        <v>1064543</v>
      </c>
      <c r="F17" s="182">
        <f t="shared" si="3"/>
        <v>289350</v>
      </c>
      <c r="G17" s="182">
        <f t="shared" si="3"/>
        <v>289350</v>
      </c>
      <c r="H17" s="182">
        <f t="shared" si="3"/>
        <v>0</v>
      </c>
      <c r="I17" s="182">
        <f t="shared" si="3"/>
        <v>0</v>
      </c>
      <c r="J17" s="182">
        <f t="shared" si="3"/>
        <v>289350</v>
      </c>
      <c r="K17" s="182">
        <f t="shared" si="3"/>
        <v>0</v>
      </c>
      <c r="L17" s="583"/>
      <c r="M17" s="167"/>
    </row>
    <row r="18" spans="1:13" ht="26.25" customHeight="1">
      <c r="A18" s="179">
        <v>600</v>
      </c>
      <c r="B18" s="179">
        <v>60014</v>
      </c>
      <c r="C18" s="179">
        <v>2310</v>
      </c>
      <c r="D18" s="180" t="s">
        <v>880</v>
      </c>
      <c r="E18" s="179">
        <f>E21</f>
        <v>0</v>
      </c>
      <c r="F18" s="179">
        <f aca="true" t="shared" si="4" ref="F18:K18">F21</f>
        <v>15000</v>
      </c>
      <c r="G18" s="179">
        <f t="shared" si="4"/>
        <v>15000</v>
      </c>
      <c r="H18" s="179">
        <f t="shared" si="4"/>
        <v>0</v>
      </c>
      <c r="I18" s="179">
        <f t="shared" si="4"/>
        <v>0</v>
      </c>
      <c r="J18" s="179">
        <f t="shared" si="4"/>
        <v>15000</v>
      </c>
      <c r="K18" s="179">
        <f t="shared" si="4"/>
        <v>0</v>
      </c>
      <c r="L18" s="583"/>
      <c r="M18" s="167"/>
    </row>
    <row r="19" spans="1:13" ht="9.75" customHeight="1">
      <c r="A19" s="41"/>
      <c r="B19" s="41"/>
      <c r="C19" s="41"/>
      <c r="D19" s="144" t="s">
        <v>475</v>
      </c>
      <c r="E19" s="41"/>
      <c r="F19" s="41"/>
      <c r="G19" s="41"/>
      <c r="H19" s="41"/>
      <c r="I19" s="41"/>
      <c r="J19" s="41"/>
      <c r="K19" s="41"/>
      <c r="L19" s="584"/>
      <c r="M19" s="167"/>
    </row>
    <row r="20" spans="1:13" ht="15.75" customHeight="1" hidden="1">
      <c r="A20" s="41"/>
      <c r="B20" s="41"/>
      <c r="C20" s="41"/>
      <c r="D20" s="16" t="s">
        <v>883</v>
      </c>
      <c r="E20" s="41">
        <v>0</v>
      </c>
      <c r="F20" s="41"/>
      <c r="G20" s="41"/>
      <c r="H20" s="41"/>
      <c r="I20" s="41"/>
      <c r="J20" s="41"/>
      <c r="K20" s="41"/>
      <c r="L20" s="584"/>
      <c r="M20" s="167"/>
    </row>
    <row r="21" spans="1:13" ht="15.75" customHeight="1">
      <c r="A21" s="41"/>
      <c r="B21" s="41"/>
      <c r="C21" s="41">
        <v>2310</v>
      </c>
      <c r="D21" s="16" t="s">
        <v>831</v>
      </c>
      <c r="E21" s="41">
        <v>0</v>
      </c>
      <c r="F21" s="41">
        <v>15000</v>
      </c>
      <c r="G21" s="41">
        <f>F21</f>
        <v>15000</v>
      </c>
      <c r="H21" s="41"/>
      <c r="I21" s="41"/>
      <c r="J21" s="41">
        <f>G21</f>
        <v>15000</v>
      </c>
      <c r="K21" s="41"/>
      <c r="L21" s="584"/>
      <c r="M21" s="167"/>
    </row>
    <row r="22" spans="1:13" ht="15.75" customHeight="1">
      <c r="A22" s="178" t="s">
        <v>906</v>
      </c>
      <c r="B22" s="178" t="s">
        <v>605</v>
      </c>
      <c r="C22" s="179">
        <v>2310</v>
      </c>
      <c r="D22" s="163" t="s">
        <v>72</v>
      </c>
      <c r="E22" s="179">
        <f>E24</f>
        <v>0</v>
      </c>
      <c r="F22" s="179">
        <f aca="true" t="shared" si="5" ref="F22:K22">F24</f>
        <v>1700</v>
      </c>
      <c r="G22" s="179">
        <f t="shared" si="5"/>
        <v>1700</v>
      </c>
      <c r="H22" s="179">
        <f t="shared" si="5"/>
        <v>0</v>
      </c>
      <c r="I22" s="179">
        <f t="shared" si="5"/>
        <v>0</v>
      </c>
      <c r="J22" s="179">
        <f t="shared" si="5"/>
        <v>1700</v>
      </c>
      <c r="K22" s="179">
        <f t="shared" si="5"/>
        <v>0</v>
      </c>
      <c r="L22" s="583"/>
      <c r="M22" s="167"/>
    </row>
    <row r="23" spans="1:13" ht="12.75" customHeight="1">
      <c r="A23" s="41"/>
      <c r="B23" s="41"/>
      <c r="C23" s="41"/>
      <c r="D23" s="16" t="s">
        <v>475</v>
      </c>
      <c r="E23" s="41"/>
      <c r="F23" s="41"/>
      <c r="G23" s="41"/>
      <c r="H23" s="41"/>
      <c r="I23" s="41"/>
      <c r="J23" s="41"/>
      <c r="K23" s="41"/>
      <c r="L23" s="584"/>
      <c r="M23" s="167"/>
    </row>
    <row r="24" spans="1:13" ht="15.75" customHeight="1">
      <c r="A24" s="41"/>
      <c r="B24" s="41"/>
      <c r="C24" s="41">
        <v>2310</v>
      </c>
      <c r="D24" s="16" t="s">
        <v>830</v>
      </c>
      <c r="E24" s="41">
        <v>0</v>
      </c>
      <c r="F24" s="41">
        <v>1700</v>
      </c>
      <c r="G24" s="41">
        <f>F24</f>
        <v>1700</v>
      </c>
      <c r="H24" s="41"/>
      <c r="I24" s="41"/>
      <c r="J24" s="41">
        <f>G24</f>
        <v>1700</v>
      </c>
      <c r="K24" s="41"/>
      <c r="L24" s="584"/>
      <c r="M24" s="167"/>
    </row>
    <row r="25" spans="1:13" ht="26.25" customHeight="1">
      <c r="A25" s="179">
        <v>600</v>
      </c>
      <c r="B25" s="179">
        <v>60014</v>
      </c>
      <c r="C25" s="179">
        <v>6610</v>
      </c>
      <c r="D25" s="180" t="s">
        <v>880</v>
      </c>
      <c r="E25" s="179">
        <f>E28+E27</f>
        <v>145000</v>
      </c>
      <c r="F25" s="179">
        <f aca="true" t="shared" si="6" ref="F25:K25">F28</f>
        <v>0</v>
      </c>
      <c r="G25" s="179">
        <f t="shared" si="6"/>
        <v>0</v>
      </c>
      <c r="H25" s="179">
        <f t="shared" si="6"/>
        <v>0</v>
      </c>
      <c r="I25" s="179">
        <f t="shared" si="6"/>
        <v>0</v>
      </c>
      <c r="J25" s="179">
        <f t="shared" si="6"/>
        <v>0</v>
      </c>
      <c r="K25" s="179">
        <f t="shared" si="6"/>
        <v>0</v>
      </c>
      <c r="L25" s="583"/>
      <c r="M25" s="167"/>
    </row>
    <row r="26" spans="1:13" ht="12" customHeight="1">
      <c r="A26" s="41"/>
      <c r="B26" s="41"/>
      <c r="C26" s="41"/>
      <c r="D26" s="144" t="s">
        <v>475</v>
      </c>
      <c r="E26" s="41"/>
      <c r="F26" s="41"/>
      <c r="G26" s="41"/>
      <c r="H26" s="41"/>
      <c r="I26" s="41"/>
      <c r="J26" s="41"/>
      <c r="K26" s="41"/>
      <c r="L26" s="584"/>
      <c r="M26" s="167"/>
    </row>
    <row r="27" spans="1:13" s="72" customFormat="1" ht="12" customHeight="1">
      <c r="A27" s="41"/>
      <c r="B27" s="41"/>
      <c r="C27" s="41">
        <v>6610</v>
      </c>
      <c r="D27" s="16" t="s">
        <v>235</v>
      </c>
      <c r="E27" s="41">
        <v>85000</v>
      </c>
      <c r="F27" s="41"/>
      <c r="G27" s="41"/>
      <c r="H27" s="41"/>
      <c r="I27" s="41"/>
      <c r="J27" s="41"/>
      <c r="K27" s="41"/>
      <c r="L27" s="584"/>
      <c r="M27" s="588"/>
    </row>
    <row r="28" spans="1:13" ht="17.25" customHeight="1">
      <c r="A28" s="16"/>
      <c r="B28" s="16"/>
      <c r="C28" s="41">
        <v>6610</v>
      </c>
      <c r="D28" s="16" t="s">
        <v>831</v>
      </c>
      <c r="E28" s="41">
        <v>60000</v>
      </c>
      <c r="F28" s="41"/>
      <c r="G28" s="41"/>
      <c r="H28" s="41"/>
      <c r="I28" s="41">
        <f>H28</f>
        <v>0</v>
      </c>
      <c r="J28" s="41">
        <f>I28</f>
        <v>0</v>
      </c>
      <c r="K28" s="41"/>
      <c r="L28" s="584"/>
      <c r="M28" s="167"/>
    </row>
    <row r="29" spans="1:13" ht="15" customHeight="1" hidden="1">
      <c r="A29" s="38">
        <v>600</v>
      </c>
      <c r="B29" s="38">
        <v>60014</v>
      </c>
      <c r="C29" s="10">
        <v>663</v>
      </c>
      <c r="D29" s="10" t="s">
        <v>880</v>
      </c>
      <c r="E29" s="10">
        <f>E31</f>
        <v>0</v>
      </c>
      <c r="F29" s="10"/>
      <c r="G29" s="10"/>
      <c r="H29" s="10"/>
      <c r="I29" s="10"/>
      <c r="J29" s="10"/>
      <c r="K29" s="10"/>
      <c r="L29" s="583"/>
      <c r="M29" s="167"/>
    </row>
    <row r="30" spans="1:13" ht="12" customHeight="1" hidden="1">
      <c r="A30" s="16"/>
      <c r="B30" s="16"/>
      <c r="C30" s="41"/>
      <c r="D30" s="144" t="s">
        <v>475</v>
      </c>
      <c r="E30" s="41"/>
      <c r="F30" s="41"/>
      <c r="G30" s="41"/>
      <c r="H30" s="41"/>
      <c r="I30" s="41"/>
      <c r="J30" s="41"/>
      <c r="K30" s="41"/>
      <c r="L30" s="584"/>
      <c r="M30" s="167"/>
    </row>
    <row r="31" spans="1:13" ht="15" customHeight="1" hidden="1">
      <c r="A31" s="16"/>
      <c r="B31" s="16"/>
      <c r="C31" s="41"/>
      <c r="D31" s="16" t="s">
        <v>902</v>
      </c>
      <c r="E31" s="41">
        <v>0</v>
      </c>
      <c r="F31" s="41"/>
      <c r="G31" s="41"/>
      <c r="H31" s="41"/>
      <c r="I31" s="41"/>
      <c r="J31" s="41"/>
      <c r="K31" s="41"/>
      <c r="L31" s="584"/>
      <c r="M31" s="167"/>
    </row>
    <row r="32" spans="1:13" ht="15" customHeight="1" hidden="1">
      <c r="A32" s="38">
        <v>851</v>
      </c>
      <c r="B32" s="38">
        <v>85111</v>
      </c>
      <c r="C32" s="10">
        <v>231</v>
      </c>
      <c r="D32" s="38" t="s">
        <v>264</v>
      </c>
      <c r="E32" s="10">
        <f>E34+E35</f>
        <v>124000</v>
      </c>
      <c r="F32" s="10"/>
      <c r="G32" s="10"/>
      <c r="H32" s="10"/>
      <c r="I32" s="10"/>
      <c r="J32" s="10"/>
      <c r="K32" s="10"/>
      <c r="L32" s="583"/>
      <c r="M32" s="167"/>
    </row>
    <row r="33" spans="1:13" ht="9.75" customHeight="1" hidden="1">
      <c r="A33" s="16"/>
      <c r="B33" s="16"/>
      <c r="C33" s="41"/>
      <c r="D33" s="144" t="s">
        <v>475</v>
      </c>
      <c r="E33" s="41"/>
      <c r="F33" s="41"/>
      <c r="G33" s="41"/>
      <c r="H33" s="41"/>
      <c r="I33" s="41"/>
      <c r="J33" s="41"/>
      <c r="K33" s="41"/>
      <c r="L33" s="584"/>
      <c r="M33" s="167"/>
    </row>
    <row r="34" spans="1:13" ht="15" customHeight="1" hidden="1">
      <c r="A34" s="16"/>
      <c r="B34" s="16"/>
      <c r="C34" s="41"/>
      <c r="D34" s="16" t="s">
        <v>882</v>
      </c>
      <c r="E34" s="41">
        <v>100000</v>
      </c>
      <c r="F34" s="41"/>
      <c r="G34" s="41"/>
      <c r="H34" s="41"/>
      <c r="I34" s="41"/>
      <c r="J34" s="41"/>
      <c r="K34" s="41"/>
      <c r="L34" s="584"/>
      <c r="M34" s="167"/>
    </row>
    <row r="35" spans="1:13" ht="15" customHeight="1" hidden="1">
      <c r="A35" s="16"/>
      <c r="B35" s="16"/>
      <c r="C35" s="41"/>
      <c r="D35" s="16" t="s">
        <v>881</v>
      </c>
      <c r="E35" s="41">
        <v>24000</v>
      </c>
      <c r="F35" s="41"/>
      <c r="G35" s="41"/>
      <c r="H35" s="41"/>
      <c r="I35" s="41"/>
      <c r="J35" s="41"/>
      <c r="K35" s="41"/>
      <c r="L35" s="584"/>
      <c r="M35" s="167"/>
    </row>
    <row r="36" spans="1:13" ht="15" customHeight="1" hidden="1">
      <c r="A36" s="38">
        <v>600</v>
      </c>
      <c r="B36" s="38">
        <v>60014</v>
      </c>
      <c r="C36" s="10">
        <v>6610</v>
      </c>
      <c r="D36" s="10" t="s">
        <v>880</v>
      </c>
      <c r="E36" s="41">
        <f>E38</f>
        <v>0</v>
      </c>
      <c r="F36" s="41"/>
      <c r="G36" s="41"/>
      <c r="H36" s="41"/>
      <c r="I36" s="41"/>
      <c r="J36" s="41"/>
      <c r="K36" s="41"/>
      <c r="L36" s="583"/>
      <c r="M36" s="167"/>
    </row>
    <row r="37" spans="1:13" ht="11.25" customHeight="1" hidden="1">
      <c r="A37" s="16"/>
      <c r="B37" s="16"/>
      <c r="C37" s="41"/>
      <c r="D37" s="144" t="s">
        <v>475</v>
      </c>
      <c r="E37" s="41"/>
      <c r="F37" s="41"/>
      <c r="G37" s="41"/>
      <c r="H37" s="41"/>
      <c r="I37" s="41"/>
      <c r="J37" s="41"/>
      <c r="K37" s="41"/>
      <c r="L37" s="584"/>
      <c r="M37" s="167"/>
    </row>
    <row r="38" spans="1:13" ht="15" customHeight="1" hidden="1">
      <c r="A38" s="16"/>
      <c r="B38" s="16"/>
      <c r="C38" s="41"/>
      <c r="D38" s="16" t="s">
        <v>882</v>
      </c>
      <c r="E38" s="41">
        <v>0</v>
      </c>
      <c r="F38" s="41"/>
      <c r="G38" s="41"/>
      <c r="H38" s="41"/>
      <c r="I38" s="41"/>
      <c r="J38" s="41"/>
      <c r="K38" s="41"/>
      <c r="L38" s="584"/>
      <c r="M38" s="167"/>
    </row>
    <row r="39" spans="1:13" ht="15.75" customHeight="1" hidden="1">
      <c r="A39" s="10">
        <v>630</v>
      </c>
      <c r="B39" s="10">
        <v>63001</v>
      </c>
      <c r="C39" s="10">
        <v>6620</v>
      </c>
      <c r="D39" s="10" t="s">
        <v>874</v>
      </c>
      <c r="E39" s="10">
        <f>E41</f>
        <v>0</v>
      </c>
      <c r="F39" s="10"/>
      <c r="G39" s="10"/>
      <c r="H39" s="10"/>
      <c r="I39" s="10"/>
      <c r="J39" s="10"/>
      <c r="K39" s="10"/>
      <c r="L39" s="583"/>
      <c r="M39" s="167"/>
    </row>
    <row r="40" spans="1:13" ht="12" customHeight="1" hidden="1">
      <c r="A40" s="41"/>
      <c r="B40" s="41"/>
      <c r="C40" s="41"/>
      <c r="D40" s="144" t="s">
        <v>475</v>
      </c>
      <c r="E40" s="41"/>
      <c r="F40" s="41"/>
      <c r="G40" s="41"/>
      <c r="H40" s="41"/>
      <c r="I40" s="41"/>
      <c r="J40" s="41"/>
      <c r="K40" s="41"/>
      <c r="L40" s="584"/>
      <c r="M40" s="167"/>
    </row>
    <row r="41" spans="1:13" ht="26.25" customHeight="1" hidden="1">
      <c r="A41" s="41"/>
      <c r="B41" s="41"/>
      <c r="C41" s="41"/>
      <c r="D41" s="79" t="s">
        <v>875</v>
      </c>
      <c r="E41" s="41">
        <v>0</v>
      </c>
      <c r="F41" s="41"/>
      <c r="G41" s="41"/>
      <c r="H41" s="41"/>
      <c r="I41" s="41"/>
      <c r="J41" s="41"/>
      <c r="K41" s="41"/>
      <c r="L41" s="584"/>
      <c r="M41" s="167"/>
    </row>
    <row r="42" spans="1:13" ht="17.25" customHeight="1" hidden="1">
      <c r="A42" s="10">
        <v>630</v>
      </c>
      <c r="B42" s="10">
        <v>63001</v>
      </c>
      <c r="C42" s="10">
        <v>6610</v>
      </c>
      <c r="D42" s="10" t="s">
        <v>874</v>
      </c>
      <c r="E42" s="41">
        <v>0</v>
      </c>
      <c r="F42" s="41"/>
      <c r="G42" s="41"/>
      <c r="H42" s="41"/>
      <c r="I42" s="41"/>
      <c r="J42" s="41"/>
      <c r="K42" s="41"/>
      <c r="L42" s="583"/>
      <c r="M42" s="167"/>
    </row>
    <row r="43" spans="1:13" ht="10.5" customHeight="1" hidden="1">
      <c r="A43" s="41"/>
      <c r="B43" s="41"/>
      <c r="C43" s="41"/>
      <c r="D43" s="144" t="s">
        <v>475</v>
      </c>
      <c r="E43" s="41">
        <v>0</v>
      </c>
      <c r="F43" s="41"/>
      <c r="G43" s="41"/>
      <c r="H43" s="41"/>
      <c r="I43" s="41"/>
      <c r="J43" s="41"/>
      <c r="K43" s="41"/>
      <c r="L43" s="584"/>
      <c r="M43" s="167"/>
    </row>
    <row r="44" spans="1:13" ht="15.75" customHeight="1" hidden="1">
      <c r="A44" s="41"/>
      <c r="B44" s="41"/>
      <c r="C44" s="41"/>
      <c r="D44" s="79" t="s">
        <v>882</v>
      </c>
      <c r="E44" s="41">
        <v>0</v>
      </c>
      <c r="F44" s="41"/>
      <c r="G44" s="41"/>
      <c r="H44" s="41"/>
      <c r="I44" s="41"/>
      <c r="J44" s="41"/>
      <c r="K44" s="41"/>
      <c r="L44" s="584"/>
      <c r="M44" s="167"/>
    </row>
    <row r="45" spans="1:13" ht="15.75" customHeight="1" hidden="1">
      <c r="A45" s="19" t="s">
        <v>906</v>
      </c>
      <c r="B45" s="19" t="s">
        <v>605</v>
      </c>
      <c r="C45" s="10">
        <v>2310</v>
      </c>
      <c r="D45" s="40" t="s">
        <v>72</v>
      </c>
      <c r="E45" s="10">
        <v>0</v>
      </c>
      <c r="F45" s="10"/>
      <c r="G45" s="10"/>
      <c r="H45" s="10"/>
      <c r="I45" s="10"/>
      <c r="J45" s="10"/>
      <c r="K45" s="10"/>
      <c r="L45" s="583"/>
      <c r="M45" s="167"/>
    </row>
    <row r="46" spans="1:13" ht="11.25" customHeight="1" hidden="1">
      <c r="A46" s="26"/>
      <c r="B46" s="26"/>
      <c r="C46" s="41"/>
      <c r="D46" s="143" t="s">
        <v>475</v>
      </c>
      <c r="E46" s="41">
        <v>0</v>
      </c>
      <c r="F46" s="41"/>
      <c r="G46" s="41"/>
      <c r="H46" s="41"/>
      <c r="I46" s="41"/>
      <c r="J46" s="41"/>
      <c r="K46" s="41"/>
      <c r="L46" s="584"/>
      <c r="M46" s="167"/>
    </row>
    <row r="47" spans="1:13" ht="15.75" customHeight="1" hidden="1">
      <c r="A47" s="26"/>
      <c r="B47" s="26"/>
      <c r="C47" s="41"/>
      <c r="D47" s="79" t="s">
        <v>853</v>
      </c>
      <c r="E47" s="41">
        <v>0</v>
      </c>
      <c r="F47" s="41"/>
      <c r="G47" s="41"/>
      <c r="H47" s="41"/>
      <c r="I47" s="41"/>
      <c r="J47" s="41"/>
      <c r="K47" s="41"/>
      <c r="L47" s="584"/>
      <c r="M47" s="167"/>
    </row>
    <row r="48" spans="1:13" ht="27" customHeight="1">
      <c r="A48" s="162">
        <v>801</v>
      </c>
      <c r="B48" s="162">
        <v>80146</v>
      </c>
      <c r="C48" s="179">
        <v>2320</v>
      </c>
      <c r="D48" s="183" t="s">
        <v>78</v>
      </c>
      <c r="E48" s="179">
        <f>E50</f>
        <v>0</v>
      </c>
      <c r="F48" s="179">
        <f aca="true" t="shared" si="7" ref="F48:K48">F50</f>
        <v>12000</v>
      </c>
      <c r="G48" s="179">
        <f t="shared" si="7"/>
        <v>12000</v>
      </c>
      <c r="H48" s="179">
        <f t="shared" si="7"/>
        <v>0</v>
      </c>
      <c r="I48" s="179">
        <f t="shared" si="7"/>
        <v>0</v>
      </c>
      <c r="J48" s="179">
        <f t="shared" si="7"/>
        <v>12000</v>
      </c>
      <c r="K48" s="179">
        <f t="shared" si="7"/>
        <v>0</v>
      </c>
      <c r="L48" s="583"/>
      <c r="M48" s="167"/>
    </row>
    <row r="49" spans="1:13" ht="10.5" customHeight="1">
      <c r="A49" s="3"/>
      <c r="B49" s="3"/>
      <c r="C49" s="3"/>
      <c r="D49" s="144" t="s">
        <v>475</v>
      </c>
      <c r="E49" s="3"/>
      <c r="F49" s="3"/>
      <c r="G49" s="3"/>
      <c r="H49" s="3"/>
      <c r="I49" s="3"/>
      <c r="J49" s="3"/>
      <c r="K49" s="3"/>
      <c r="L49" s="586"/>
      <c r="M49" s="167"/>
    </row>
    <row r="50" spans="1:13" ht="15" customHeight="1">
      <c r="A50" s="3"/>
      <c r="B50" s="3"/>
      <c r="C50" s="3">
        <v>2320</v>
      </c>
      <c r="D50" s="12" t="s">
        <v>832</v>
      </c>
      <c r="E50" s="3">
        <v>0</v>
      </c>
      <c r="F50" s="3">
        <v>12000</v>
      </c>
      <c r="G50" s="3">
        <f>F50</f>
        <v>12000</v>
      </c>
      <c r="H50" s="3"/>
      <c r="I50" s="3"/>
      <c r="J50" s="3">
        <f>G50</f>
        <v>12000</v>
      </c>
      <c r="K50" s="3"/>
      <c r="L50" s="586"/>
      <c r="M50" s="167"/>
    </row>
    <row r="51" spans="1:13" ht="24" customHeight="1">
      <c r="A51" s="179">
        <v>852</v>
      </c>
      <c r="B51" s="162">
        <v>85201</v>
      </c>
      <c r="C51" s="179">
        <v>2320</v>
      </c>
      <c r="D51" s="185" t="s">
        <v>83</v>
      </c>
      <c r="E51" s="179">
        <f>E53+E54+E55+E60+E61</f>
        <v>113403</v>
      </c>
      <c r="F51" s="179">
        <f aca="true" t="shared" si="8" ref="F51:K51">F53+F54+F55+F60+F61</f>
        <v>181627</v>
      </c>
      <c r="G51" s="179">
        <f t="shared" si="8"/>
        <v>181627</v>
      </c>
      <c r="H51" s="179">
        <f t="shared" si="8"/>
        <v>0</v>
      </c>
      <c r="I51" s="179">
        <f t="shared" si="8"/>
        <v>0</v>
      </c>
      <c r="J51" s="179">
        <f t="shared" si="8"/>
        <v>181627</v>
      </c>
      <c r="K51" s="179">
        <f t="shared" si="8"/>
        <v>0</v>
      </c>
      <c r="L51" s="583"/>
      <c r="M51" s="167"/>
    </row>
    <row r="52" spans="1:13" ht="10.5" customHeight="1">
      <c r="A52" s="3"/>
      <c r="B52" s="3"/>
      <c r="C52" s="3"/>
      <c r="D52" s="145" t="s">
        <v>475</v>
      </c>
      <c r="E52" s="3"/>
      <c r="F52" s="3"/>
      <c r="G52" s="3"/>
      <c r="H52" s="3"/>
      <c r="I52" s="3"/>
      <c r="J52" s="3"/>
      <c r="K52" s="3"/>
      <c r="L52" s="586"/>
      <c r="M52" s="167"/>
    </row>
    <row r="53" spans="1:13" ht="15" customHeight="1">
      <c r="A53" s="3"/>
      <c r="B53" s="3"/>
      <c r="C53" s="3">
        <v>2320</v>
      </c>
      <c r="D53" s="23" t="s">
        <v>723</v>
      </c>
      <c r="E53" s="3">
        <v>0</v>
      </c>
      <c r="F53" s="3">
        <v>71952</v>
      </c>
      <c r="G53" s="3">
        <f>F53</f>
        <v>71952</v>
      </c>
      <c r="H53" s="3"/>
      <c r="I53" s="3"/>
      <c r="J53" s="3">
        <f>G53</f>
        <v>71952</v>
      </c>
      <c r="K53" s="3"/>
      <c r="L53" s="586"/>
      <c r="M53" s="167"/>
    </row>
    <row r="54" spans="1:13" ht="18" customHeight="1">
      <c r="A54" s="3"/>
      <c r="B54" s="3"/>
      <c r="C54" s="3">
        <v>2320</v>
      </c>
      <c r="D54" s="23" t="s">
        <v>724</v>
      </c>
      <c r="E54" s="3">
        <v>0</v>
      </c>
      <c r="F54" s="3">
        <v>31944</v>
      </c>
      <c r="G54" s="3">
        <f aca="true" t="shared" si="9" ref="G54:G61">F54</f>
        <v>31944</v>
      </c>
      <c r="H54" s="3"/>
      <c r="I54" s="3"/>
      <c r="J54" s="3">
        <f aca="true" t="shared" si="10" ref="J54:J61">G54</f>
        <v>31944</v>
      </c>
      <c r="K54" s="3"/>
      <c r="L54" s="586"/>
      <c r="M54" s="167"/>
    </row>
    <row r="55" spans="1:13" ht="15" customHeight="1">
      <c r="A55" s="3"/>
      <c r="B55" s="3"/>
      <c r="C55" s="3">
        <v>2320</v>
      </c>
      <c r="D55" s="12" t="s">
        <v>725</v>
      </c>
      <c r="E55" s="3">
        <v>56701</v>
      </c>
      <c r="F55" s="3">
        <v>77731</v>
      </c>
      <c r="G55" s="3">
        <f t="shared" si="9"/>
        <v>77731</v>
      </c>
      <c r="H55" s="3"/>
      <c r="I55" s="3"/>
      <c r="J55" s="3">
        <f t="shared" si="10"/>
        <v>77731</v>
      </c>
      <c r="K55" s="3"/>
      <c r="L55" s="586"/>
      <c r="M55" s="167"/>
    </row>
    <row r="56" spans="1:13" ht="25.5" customHeight="1" hidden="1">
      <c r="A56" s="5">
        <v>854</v>
      </c>
      <c r="B56" s="5">
        <v>85417</v>
      </c>
      <c r="C56" s="10">
        <v>2310</v>
      </c>
      <c r="D56" s="4" t="s">
        <v>476</v>
      </c>
      <c r="E56" s="10">
        <v>0</v>
      </c>
      <c r="F56" s="10"/>
      <c r="G56" s="3">
        <f t="shared" si="9"/>
        <v>0</v>
      </c>
      <c r="H56" s="10"/>
      <c r="I56" s="10"/>
      <c r="J56" s="3">
        <f t="shared" si="10"/>
        <v>0</v>
      </c>
      <c r="K56" s="10"/>
      <c r="L56" s="583"/>
      <c r="M56" s="167"/>
    </row>
    <row r="57" spans="1:13" ht="7.5" customHeight="1" hidden="1">
      <c r="A57" s="6"/>
      <c r="B57" s="6"/>
      <c r="C57" s="3"/>
      <c r="D57" s="129" t="s">
        <v>475</v>
      </c>
      <c r="E57" s="3"/>
      <c r="F57" s="3"/>
      <c r="G57" s="3">
        <f t="shared" si="9"/>
        <v>0</v>
      </c>
      <c r="H57" s="3"/>
      <c r="I57" s="3"/>
      <c r="J57" s="3">
        <f t="shared" si="10"/>
        <v>0</v>
      </c>
      <c r="K57" s="3"/>
      <c r="L57" s="586"/>
      <c r="M57" s="167"/>
    </row>
    <row r="58" spans="1:13" ht="18" customHeight="1" hidden="1">
      <c r="A58" s="6"/>
      <c r="B58" s="6"/>
      <c r="C58" s="3"/>
      <c r="D58" s="42" t="s">
        <v>477</v>
      </c>
      <c r="E58" s="3">
        <v>0</v>
      </c>
      <c r="F58" s="3"/>
      <c r="G58" s="3">
        <f t="shared" si="9"/>
        <v>0</v>
      </c>
      <c r="H58" s="3"/>
      <c r="I58" s="3"/>
      <c r="J58" s="3">
        <f t="shared" si="10"/>
        <v>0</v>
      </c>
      <c r="K58" s="3"/>
      <c r="L58" s="586"/>
      <c r="M58" s="167"/>
    </row>
    <row r="59" spans="1:13" ht="15" customHeight="1" hidden="1">
      <c r="A59" s="6"/>
      <c r="B59" s="6"/>
      <c r="C59" s="3"/>
      <c r="D59" s="42" t="s">
        <v>478</v>
      </c>
      <c r="E59" s="3">
        <v>0</v>
      </c>
      <c r="F59" s="3"/>
      <c r="G59" s="3">
        <f t="shared" si="9"/>
        <v>0</v>
      </c>
      <c r="H59" s="3"/>
      <c r="I59" s="3"/>
      <c r="J59" s="3">
        <f t="shared" si="10"/>
        <v>0</v>
      </c>
      <c r="K59" s="3"/>
      <c r="L59" s="586"/>
      <c r="M59" s="167"/>
    </row>
    <row r="60" spans="1:13" ht="15" customHeight="1">
      <c r="A60" s="6"/>
      <c r="B60" s="6"/>
      <c r="C60" s="3">
        <v>2320</v>
      </c>
      <c r="D60" s="42" t="s">
        <v>727</v>
      </c>
      <c r="E60" s="3">
        <v>28351</v>
      </c>
      <c r="F60" s="3"/>
      <c r="G60" s="3">
        <f t="shared" si="9"/>
        <v>0</v>
      </c>
      <c r="H60" s="3"/>
      <c r="I60" s="3"/>
      <c r="J60" s="3">
        <f t="shared" si="10"/>
        <v>0</v>
      </c>
      <c r="K60" s="3"/>
      <c r="L60" s="586"/>
      <c r="M60" s="167"/>
    </row>
    <row r="61" spans="1:13" ht="15" customHeight="1">
      <c r="A61" s="6"/>
      <c r="B61" s="6"/>
      <c r="C61" s="3">
        <v>2320</v>
      </c>
      <c r="D61" s="42" t="s">
        <v>726</v>
      </c>
      <c r="E61" s="3">
        <v>28351</v>
      </c>
      <c r="F61" s="3"/>
      <c r="G61" s="3">
        <f t="shared" si="9"/>
        <v>0</v>
      </c>
      <c r="H61" s="3"/>
      <c r="I61" s="3"/>
      <c r="J61" s="3">
        <f t="shared" si="10"/>
        <v>0</v>
      </c>
      <c r="K61" s="3"/>
      <c r="L61" s="586"/>
      <c r="M61" s="167"/>
    </row>
    <row r="62" spans="1:13" ht="15" customHeight="1">
      <c r="A62" s="164">
        <v>852</v>
      </c>
      <c r="B62" s="164">
        <v>85204</v>
      </c>
      <c r="C62" s="179"/>
      <c r="D62" s="186" t="s">
        <v>458</v>
      </c>
      <c r="E62" s="179">
        <f>E64+E65+E66+E67</f>
        <v>60719</v>
      </c>
      <c r="F62" s="179">
        <f aca="true" t="shared" si="11" ref="F62:K62">F64+F65+F66+F67</f>
        <v>21082</v>
      </c>
      <c r="G62" s="179">
        <f t="shared" si="11"/>
        <v>21082</v>
      </c>
      <c r="H62" s="179">
        <f t="shared" si="11"/>
        <v>0</v>
      </c>
      <c r="I62" s="179">
        <f t="shared" si="11"/>
        <v>0</v>
      </c>
      <c r="J62" s="179">
        <f t="shared" si="11"/>
        <v>21082</v>
      </c>
      <c r="K62" s="179">
        <f t="shared" si="11"/>
        <v>0</v>
      </c>
      <c r="L62" s="583"/>
      <c r="M62" s="166"/>
    </row>
    <row r="63" spans="1:13" ht="11.25" customHeight="1">
      <c r="A63" s="6"/>
      <c r="B63" s="6"/>
      <c r="C63" s="3"/>
      <c r="D63" s="42" t="s">
        <v>475</v>
      </c>
      <c r="E63" s="3"/>
      <c r="F63" s="3"/>
      <c r="G63" s="3"/>
      <c r="H63" s="3"/>
      <c r="I63" s="3"/>
      <c r="J63" s="3"/>
      <c r="K63" s="3"/>
      <c r="L63" s="586"/>
      <c r="M63" s="167"/>
    </row>
    <row r="64" spans="1:13" ht="15" customHeight="1">
      <c r="A64" s="6"/>
      <c r="B64" s="6"/>
      <c r="C64" s="3">
        <v>2310</v>
      </c>
      <c r="D64" s="42" t="s">
        <v>836</v>
      </c>
      <c r="E64" s="3">
        <v>0</v>
      </c>
      <c r="F64" s="3">
        <v>5270</v>
      </c>
      <c r="G64" s="3">
        <f>F64</f>
        <v>5270</v>
      </c>
      <c r="H64" s="3"/>
      <c r="I64" s="3"/>
      <c r="J64" s="3">
        <f>G64</f>
        <v>5270</v>
      </c>
      <c r="K64" s="3"/>
      <c r="L64" s="586"/>
      <c r="M64" s="167"/>
    </row>
    <row r="65" spans="1:13" ht="14.25" customHeight="1">
      <c r="A65" s="6"/>
      <c r="B65" s="6"/>
      <c r="C65" s="3">
        <v>2320</v>
      </c>
      <c r="D65" s="42" t="s">
        <v>837</v>
      </c>
      <c r="E65" s="3">
        <v>23717</v>
      </c>
      <c r="F65" s="3">
        <v>7906</v>
      </c>
      <c r="G65" s="3">
        <f aca="true" t="shared" si="12" ref="G65:G71">F65</f>
        <v>7906</v>
      </c>
      <c r="H65" s="3"/>
      <c r="I65" s="3"/>
      <c r="J65" s="3">
        <f>G65</f>
        <v>7906</v>
      </c>
      <c r="K65" s="3"/>
      <c r="L65" s="586"/>
      <c r="M65" s="167"/>
    </row>
    <row r="66" spans="1:13" ht="14.25" customHeight="1">
      <c r="A66" s="6"/>
      <c r="B66" s="6"/>
      <c r="C66" s="3">
        <v>2320</v>
      </c>
      <c r="D66" s="42" t="s">
        <v>720</v>
      </c>
      <c r="E66" s="3">
        <v>7356</v>
      </c>
      <c r="F66" s="3"/>
      <c r="G66" s="3">
        <f t="shared" si="12"/>
        <v>0</v>
      </c>
      <c r="H66" s="3"/>
      <c r="I66" s="3"/>
      <c r="J66" s="3">
        <f>G66</f>
        <v>0</v>
      </c>
      <c r="K66" s="3"/>
      <c r="L66" s="586"/>
      <c r="M66" s="167"/>
    </row>
    <row r="67" spans="1:13" ht="15" customHeight="1">
      <c r="A67" s="6"/>
      <c r="B67" s="6"/>
      <c r="C67" s="3">
        <v>2320</v>
      </c>
      <c r="D67" s="42" t="s">
        <v>838</v>
      </c>
      <c r="E67" s="3">
        <v>29646</v>
      </c>
      <c r="F67" s="3">
        <v>7906</v>
      </c>
      <c r="G67" s="3">
        <f t="shared" si="12"/>
        <v>7906</v>
      </c>
      <c r="H67" s="3"/>
      <c r="I67" s="3"/>
      <c r="J67" s="3">
        <f>G67</f>
        <v>7906</v>
      </c>
      <c r="K67" s="3"/>
      <c r="L67" s="586"/>
      <c r="M67" s="167"/>
    </row>
    <row r="68" spans="1:13" ht="12" customHeight="1" hidden="1">
      <c r="A68" s="6"/>
      <c r="B68" s="6"/>
      <c r="C68" s="3"/>
      <c r="D68" s="42" t="s">
        <v>479</v>
      </c>
      <c r="E68" s="3">
        <v>0</v>
      </c>
      <c r="F68" s="3"/>
      <c r="G68" s="3">
        <f t="shared" si="12"/>
        <v>0</v>
      </c>
      <c r="H68" s="3"/>
      <c r="I68" s="3"/>
      <c r="J68" s="3"/>
      <c r="K68" s="3"/>
      <c r="L68" s="586"/>
      <c r="M68" s="167"/>
    </row>
    <row r="69" spans="1:13" ht="15" customHeight="1" hidden="1">
      <c r="A69" s="5">
        <v>750</v>
      </c>
      <c r="B69" s="5">
        <v>75018</v>
      </c>
      <c r="C69" s="10">
        <v>2330</v>
      </c>
      <c r="D69" s="43" t="s">
        <v>854</v>
      </c>
      <c r="E69" s="10">
        <v>0</v>
      </c>
      <c r="F69" s="10"/>
      <c r="G69" s="3">
        <f t="shared" si="12"/>
        <v>0</v>
      </c>
      <c r="H69" s="10"/>
      <c r="I69" s="10"/>
      <c r="J69" s="10"/>
      <c r="K69" s="10"/>
      <c r="L69" s="583"/>
      <c r="M69" s="167"/>
    </row>
    <row r="70" spans="1:13" ht="10.5" customHeight="1" hidden="1">
      <c r="A70" s="14"/>
      <c r="B70" s="14"/>
      <c r="C70" s="41"/>
      <c r="D70" s="146" t="s">
        <v>475</v>
      </c>
      <c r="E70" s="41"/>
      <c r="F70" s="41"/>
      <c r="G70" s="3">
        <f t="shared" si="12"/>
        <v>0</v>
      </c>
      <c r="H70" s="41"/>
      <c r="I70" s="41"/>
      <c r="J70" s="41"/>
      <c r="K70" s="41"/>
      <c r="L70" s="584"/>
      <c r="M70" s="167"/>
    </row>
    <row r="71" spans="1:13" ht="24.75" customHeight="1" hidden="1">
      <c r="A71" s="14"/>
      <c r="B71" s="14"/>
      <c r="C71" s="41"/>
      <c r="D71" s="122" t="s">
        <v>860</v>
      </c>
      <c r="E71" s="41">
        <v>0</v>
      </c>
      <c r="F71" s="41"/>
      <c r="G71" s="3">
        <f t="shared" si="12"/>
        <v>0</v>
      </c>
      <c r="H71" s="41"/>
      <c r="I71" s="41"/>
      <c r="J71" s="41"/>
      <c r="K71" s="41"/>
      <c r="L71" s="584"/>
      <c r="M71" s="167"/>
    </row>
    <row r="72" spans="1:13" ht="24.75" customHeight="1">
      <c r="A72" s="164">
        <v>750</v>
      </c>
      <c r="B72" s="164">
        <v>75018</v>
      </c>
      <c r="C72" s="179">
        <v>2330</v>
      </c>
      <c r="D72" s="186" t="s">
        <v>854</v>
      </c>
      <c r="E72" s="179">
        <f>E74</f>
        <v>0</v>
      </c>
      <c r="F72" s="179">
        <f aca="true" t="shared" si="13" ref="F72:K72">F74</f>
        <v>3380</v>
      </c>
      <c r="G72" s="179">
        <f t="shared" si="13"/>
        <v>3380</v>
      </c>
      <c r="H72" s="179">
        <f t="shared" si="13"/>
        <v>0</v>
      </c>
      <c r="I72" s="179">
        <f t="shared" si="13"/>
        <v>0</v>
      </c>
      <c r="J72" s="179">
        <f t="shared" si="13"/>
        <v>3380</v>
      </c>
      <c r="K72" s="179">
        <f t="shared" si="13"/>
        <v>0</v>
      </c>
      <c r="L72" s="583"/>
      <c r="M72" s="167"/>
    </row>
    <row r="73" spans="1:13" ht="13.5" customHeight="1">
      <c r="A73" s="14"/>
      <c r="B73" s="14"/>
      <c r="C73" s="41"/>
      <c r="D73" s="122" t="s">
        <v>475</v>
      </c>
      <c r="E73" s="41"/>
      <c r="F73" s="41"/>
      <c r="G73" s="41"/>
      <c r="H73" s="41"/>
      <c r="I73" s="41"/>
      <c r="J73" s="41"/>
      <c r="K73" s="41"/>
      <c r="L73" s="584"/>
      <c r="M73" s="167"/>
    </row>
    <row r="74" spans="1:13" ht="22.5" customHeight="1">
      <c r="A74" s="14"/>
      <c r="B74" s="14"/>
      <c r="C74" s="41">
        <v>2330</v>
      </c>
      <c r="D74" s="122" t="s">
        <v>840</v>
      </c>
      <c r="E74" s="41">
        <v>0</v>
      </c>
      <c r="F74" s="41">
        <v>3380</v>
      </c>
      <c r="G74" s="41">
        <f>F74</f>
        <v>3380</v>
      </c>
      <c r="H74" s="41"/>
      <c r="I74" s="41"/>
      <c r="J74" s="41">
        <f>G74</f>
        <v>3380</v>
      </c>
      <c r="K74" s="41"/>
      <c r="L74" s="584"/>
      <c r="M74" s="167"/>
    </row>
    <row r="75" spans="1:13" ht="21.75" customHeight="1">
      <c r="A75" s="164">
        <v>750</v>
      </c>
      <c r="B75" s="164">
        <v>75020</v>
      </c>
      <c r="C75" s="179">
        <v>30</v>
      </c>
      <c r="D75" s="186" t="s">
        <v>67</v>
      </c>
      <c r="E75" s="179">
        <f>E77+E78</f>
        <v>0</v>
      </c>
      <c r="F75" s="179">
        <f aca="true" t="shared" si="14" ref="F75:K75">F77+F78</f>
        <v>10000</v>
      </c>
      <c r="G75" s="179">
        <f t="shared" si="14"/>
        <v>10000</v>
      </c>
      <c r="H75" s="179">
        <f t="shared" si="14"/>
        <v>0</v>
      </c>
      <c r="I75" s="179">
        <f t="shared" si="14"/>
        <v>0</v>
      </c>
      <c r="J75" s="179">
        <f t="shared" si="14"/>
        <v>10000</v>
      </c>
      <c r="K75" s="179">
        <f t="shared" si="14"/>
        <v>0</v>
      </c>
      <c r="L75" s="583"/>
      <c r="M75" s="167"/>
    </row>
    <row r="76" spans="1:13" ht="12" customHeight="1">
      <c r="A76" s="14"/>
      <c r="B76" s="14"/>
      <c r="C76" s="41"/>
      <c r="D76" s="122" t="s">
        <v>475</v>
      </c>
      <c r="E76" s="41"/>
      <c r="F76" s="41"/>
      <c r="G76" s="41"/>
      <c r="H76" s="41"/>
      <c r="I76" s="41"/>
      <c r="J76" s="41"/>
      <c r="K76" s="41"/>
      <c r="L76" s="584"/>
      <c r="M76" s="167"/>
    </row>
    <row r="77" spans="1:13" ht="15.75" customHeight="1">
      <c r="A77" s="14"/>
      <c r="B77" s="14"/>
      <c r="C77" s="41">
        <v>2310</v>
      </c>
      <c r="D77" s="122" t="s">
        <v>833</v>
      </c>
      <c r="E77" s="41">
        <v>0</v>
      </c>
      <c r="F77" s="41">
        <v>5000</v>
      </c>
      <c r="G77" s="41">
        <f>F77</f>
        <v>5000</v>
      </c>
      <c r="H77" s="41"/>
      <c r="I77" s="41"/>
      <c r="J77" s="41">
        <f>G77</f>
        <v>5000</v>
      </c>
      <c r="K77" s="41"/>
      <c r="L77" s="584"/>
      <c r="M77" s="167"/>
    </row>
    <row r="78" spans="1:13" ht="15.75" customHeight="1">
      <c r="A78" s="14"/>
      <c r="B78" s="14"/>
      <c r="C78" s="41">
        <v>2310</v>
      </c>
      <c r="D78" s="122" t="s">
        <v>721</v>
      </c>
      <c r="E78" s="41">
        <v>0</v>
      </c>
      <c r="F78" s="41">
        <v>5000</v>
      </c>
      <c r="G78" s="41">
        <f>F78</f>
        <v>5000</v>
      </c>
      <c r="H78" s="41"/>
      <c r="I78" s="41"/>
      <c r="J78" s="41">
        <f>G78</f>
        <v>5000</v>
      </c>
      <c r="K78" s="41"/>
      <c r="L78" s="584"/>
      <c r="M78" s="167"/>
    </row>
    <row r="79" spans="1:13" ht="15.75" customHeight="1">
      <c r="A79" s="164">
        <v>851</v>
      </c>
      <c r="B79" s="164">
        <v>85111</v>
      </c>
      <c r="C79" s="179">
        <v>6619</v>
      </c>
      <c r="D79" s="186" t="s">
        <v>264</v>
      </c>
      <c r="E79" s="179">
        <f>E81+E82+E83+E84</f>
        <v>745421</v>
      </c>
      <c r="F79" s="179">
        <f aca="true" t="shared" si="15" ref="F79:K79">F81+F82+F83+F84</f>
        <v>0</v>
      </c>
      <c r="G79" s="179">
        <f t="shared" si="15"/>
        <v>0</v>
      </c>
      <c r="H79" s="179">
        <f t="shared" si="15"/>
        <v>0</v>
      </c>
      <c r="I79" s="179">
        <f t="shared" si="15"/>
        <v>0</v>
      </c>
      <c r="J79" s="179">
        <f t="shared" si="15"/>
        <v>0</v>
      </c>
      <c r="K79" s="179">
        <f t="shared" si="15"/>
        <v>0</v>
      </c>
      <c r="L79" s="583"/>
      <c r="M79" s="167"/>
    </row>
    <row r="80" spans="1:13" ht="12" customHeight="1">
      <c r="A80" s="14"/>
      <c r="B80" s="14"/>
      <c r="C80" s="41"/>
      <c r="D80" s="122" t="s">
        <v>475</v>
      </c>
      <c r="E80" s="41"/>
      <c r="F80" s="41"/>
      <c r="G80" s="41"/>
      <c r="H80" s="41"/>
      <c r="I80" s="41"/>
      <c r="J80" s="41"/>
      <c r="K80" s="41"/>
      <c r="L80" s="584"/>
      <c r="M80" s="167"/>
    </row>
    <row r="81" spans="1:13" ht="15.75" customHeight="1">
      <c r="A81" s="14"/>
      <c r="B81" s="14"/>
      <c r="C81" s="41">
        <v>6619</v>
      </c>
      <c r="D81" s="122" t="s">
        <v>839</v>
      </c>
      <c r="E81" s="41">
        <v>446308</v>
      </c>
      <c r="F81" s="41"/>
      <c r="G81" s="41"/>
      <c r="H81" s="41"/>
      <c r="I81" s="41"/>
      <c r="J81" s="41"/>
      <c r="K81" s="41"/>
      <c r="L81" s="584"/>
      <c r="M81" s="167"/>
    </row>
    <row r="82" spans="1:13" ht="15.75" customHeight="1">
      <c r="A82" s="14"/>
      <c r="B82" s="14"/>
      <c r="C82" s="41">
        <v>6619</v>
      </c>
      <c r="D82" s="122" t="s">
        <v>833</v>
      </c>
      <c r="E82" s="41">
        <v>70217</v>
      </c>
      <c r="F82" s="41"/>
      <c r="G82" s="41"/>
      <c r="H82" s="41"/>
      <c r="I82" s="41"/>
      <c r="J82" s="41"/>
      <c r="K82" s="41"/>
      <c r="L82" s="584"/>
      <c r="M82" s="167"/>
    </row>
    <row r="83" spans="1:13" ht="15.75" customHeight="1">
      <c r="A83" s="14"/>
      <c r="B83" s="14"/>
      <c r="C83" s="41">
        <v>6619</v>
      </c>
      <c r="D83" s="122" t="s">
        <v>722</v>
      </c>
      <c r="E83" s="41">
        <v>141398</v>
      </c>
      <c r="F83" s="41"/>
      <c r="G83" s="41"/>
      <c r="H83" s="41"/>
      <c r="I83" s="41"/>
      <c r="J83" s="41"/>
      <c r="K83" s="41"/>
      <c r="L83" s="584"/>
      <c r="M83" s="167"/>
    </row>
    <row r="84" spans="1:13" ht="15.75" customHeight="1">
      <c r="A84" s="14"/>
      <c r="B84" s="14"/>
      <c r="C84" s="41">
        <v>6619</v>
      </c>
      <c r="D84" s="122" t="s">
        <v>834</v>
      </c>
      <c r="E84" s="41">
        <v>87498</v>
      </c>
      <c r="F84" s="41"/>
      <c r="G84" s="41"/>
      <c r="H84" s="41"/>
      <c r="I84" s="41"/>
      <c r="J84" s="41"/>
      <c r="K84" s="41"/>
      <c r="L84" s="584"/>
      <c r="M84" s="167"/>
    </row>
    <row r="85" spans="1:13" ht="25.5" customHeight="1">
      <c r="A85" s="164">
        <v>853</v>
      </c>
      <c r="B85" s="164">
        <v>85311</v>
      </c>
      <c r="C85" s="179">
        <v>2310</v>
      </c>
      <c r="D85" s="340" t="s">
        <v>234</v>
      </c>
      <c r="E85" s="179">
        <v>0</v>
      </c>
      <c r="F85" s="179">
        <f>F87</f>
        <v>10061</v>
      </c>
      <c r="G85" s="179">
        <f>G87</f>
        <v>10061</v>
      </c>
      <c r="H85" s="179">
        <f>H87</f>
        <v>0</v>
      </c>
      <c r="I85" s="179">
        <f>I87</f>
        <v>0</v>
      </c>
      <c r="J85" s="179">
        <f>J87</f>
        <v>10061</v>
      </c>
      <c r="K85" s="179">
        <v>0</v>
      </c>
      <c r="L85" s="583"/>
      <c r="M85" s="167"/>
    </row>
    <row r="86" spans="1:13" ht="12" customHeight="1">
      <c r="A86" s="14"/>
      <c r="B86" s="14"/>
      <c r="C86" s="41"/>
      <c r="D86" s="122" t="s">
        <v>475</v>
      </c>
      <c r="E86" s="41"/>
      <c r="F86" s="41"/>
      <c r="G86" s="41"/>
      <c r="H86" s="41"/>
      <c r="I86" s="41"/>
      <c r="J86" s="41"/>
      <c r="K86" s="41"/>
      <c r="L86" s="584"/>
      <c r="M86" s="167"/>
    </row>
    <row r="87" spans="1:13" ht="15.75" customHeight="1">
      <c r="A87" s="14"/>
      <c r="B87" s="14"/>
      <c r="C87" s="41">
        <v>2310</v>
      </c>
      <c r="D87" s="339" t="s">
        <v>235</v>
      </c>
      <c r="E87" s="41"/>
      <c r="F87" s="41">
        <v>10061</v>
      </c>
      <c r="G87" s="41">
        <f>F87</f>
        <v>10061</v>
      </c>
      <c r="H87" s="41"/>
      <c r="I87" s="41"/>
      <c r="J87" s="41">
        <f>G87</f>
        <v>10061</v>
      </c>
      <c r="K87" s="41"/>
      <c r="L87" s="584"/>
      <c r="M87" s="167"/>
    </row>
    <row r="88" spans="1:13" ht="15.75" customHeight="1">
      <c r="A88" s="164">
        <v>854</v>
      </c>
      <c r="B88" s="164">
        <v>85417</v>
      </c>
      <c r="C88" s="179">
        <v>2310</v>
      </c>
      <c r="D88" s="186" t="s">
        <v>841</v>
      </c>
      <c r="E88" s="179">
        <f>E90</f>
        <v>0</v>
      </c>
      <c r="F88" s="179">
        <f aca="true" t="shared" si="16" ref="F88:K88">F90</f>
        <v>1500</v>
      </c>
      <c r="G88" s="179">
        <f t="shared" si="16"/>
        <v>1500</v>
      </c>
      <c r="H88" s="179">
        <f t="shared" si="16"/>
        <v>0</v>
      </c>
      <c r="I88" s="179">
        <f t="shared" si="16"/>
        <v>0</v>
      </c>
      <c r="J88" s="179">
        <f t="shared" si="16"/>
        <v>1500</v>
      </c>
      <c r="K88" s="179">
        <f t="shared" si="16"/>
        <v>0</v>
      </c>
      <c r="L88" s="583"/>
      <c r="M88" s="167"/>
    </row>
    <row r="89" spans="1:13" ht="13.5" customHeight="1">
      <c r="A89" s="14"/>
      <c r="B89" s="14"/>
      <c r="C89" s="41"/>
      <c r="D89" s="122" t="s">
        <v>475</v>
      </c>
      <c r="E89" s="41"/>
      <c r="F89" s="41"/>
      <c r="G89" s="41"/>
      <c r="H89" s="41"/>
      <c r="I89" s="41"/>
      <c r="J89" s="41"/>
      <c r="K89" s="41"/>
      <c r="L89" s="584"/>
      <c r="M89" s="167"/>
    </row>
    <row r="90" spans="1:13" ht="15.75" customHeight="1">
      <c r="A90" s="14"/>
      <c r="B90" s="14"/>
      <c r="C90" s="41">
        <v>2310</v>
      </c>
      <c r="D90" s="122" t="s">
        <v>834</v>
      </c>
      <c r="E90" s="41">
        <v>0</v>
      </c>
      <c r="F90" s="41">
        <v>1500</v>
      </c>
      <c r="G90" s="41">
        <f>F90</f>
        <v>1500</v>
      </c>
      <c r="H90" s="41"/>
      <c r="I90" s="41"/>
      <c r="J90" s="41">
        <f>G90</f>
        <v>1500</v>
      </c>
      <c r="K90" s="41"/>
      <c r="L90" s="584"/>
      <c r="M90" s="167"/>
    </row>
    <row r="91" spans="1:13" ht="39" customHeight="1">
      <c r="A91" s="164">
        <v>921</v>
      </c>
      <c r="B91" s="164">
        <v>92116</v>
      </c>
      <c r="C91" s="179">
        <v>2310</v>
      </c>
      <c r="D91" s="186" t="s">
        <v>480</v>
      </c>
      <c r="E91" s="179">
        <v>0</v>
      </c>
      <c r="F91" s="179">
        <f aca="true" t="shared" si="17" ref="F91:K91">F93</f>
        <v>33000</v>
      </c>
      <c r="G91" s="179">
        <f t="shared" si="17"/>
        <v>33000</v>
      </c>
      <c r="H91" s="179">
        <f t="shared" si="17"/>
        <v>0</v>
      </c>
      <c r="I91" s="179">
        <f t="shared" si="17"/>
        <v>0</v>
      </c>
      <c r="J91" s="179">
        <f t="shared" si="17"/>
        <v>33000</v>
      </c>
      <c r="K91" s="179">
        <f t="shared" si="17"/>
        <v>0</v>
      </c>
      <c r="L91" s="583"/>
      <c r="M91" s="167"/>
    </row>
    <row r="92" spans="1:13" ht="11.25" customHeight="1">
      <c r="A92" s="6"/>
      <c r="B92" s="6"/>
      <c r="C92" s="3"/>
      <c r="D92" s="147" t="s">
        <v>475</v>
      </c>
      <c r="E92" s="3"/>
      <c r="F92" s="3"/>
      <c r="G92" s="3"/>
      <c r="H92" s="3"/>
      <c r="I92" s="3"/>
      <c r="J92" s="3"/>
      <c r="K92" s="3"/>
      <c r="L92" s="586"/>
      <c r="M92" s="167"/>
    </row>
    <row r="93" spans="1:13" ht="15" customHeight="1">
      <c r="A93" s="6"/>
      <c r="B93" s="6"/>
      <c r="C93" s="3">
        <v>2310</v>
      </c>
      <c r="D93" s="42" t="s">
        <v>835</v>
      </c>
      <c r="E93" s="3">
        <v>0</v>
      </c>
      <c r="F93" s="3">
        <v>33000</v>
      </c>
      <c r="G93" s="3">
        <f>F93</f>
        <v>33000</v>
      </c>
      <c r="H93" s="3"/>
      <c r="I93" s="3"/>
      <c r="J93" s="3">
        <f>G93</f>
        <v>33000</v>
      </c>
      <c r="K93" s="3"/>
      <c r="L93" s="586"/>
      <c r="M93" s="167"/>
    </row>
    <row r="94" spans="1:13" ht="15" customHeight="1" hidden="1">
      <c r="A94" s="5">
        <v>921</v>
      </c>
      <c r="B94" s="5">
        <v>92195</v>
      </c>
      <c r="C94" s="10">
        <v>2310</v>
      </c>
      <c r="D94" s="43" t="s">
        <v>72</v>
      </c>
      <c r="E94" s="10">
        <f>E96</f>
        <v>0</v>
      </c>
      <c r="F94" s="10"/>
      <c r="G94" s="10"/>
      <c r="H94" s="10"/>
      <c r="I94" s="10"/>
      <c r="J94" s="10"/>
      <c r="K94" s="10"/>
      <c r="L94" s="583"/>
      <c r="M94" s="167"/>
    </row>
    <row r="95" spans="1:13" ht="10.5" customHeight="1" hidden="1">
      <c r="A95" s="6"/>
      <c r="B95" s="6"/>
      <c r="C95" s="3"/>
      <c r="D95" s="146" t="s">
        <v>475</v>
      </c>
      <c r="E95" s="3"/>
      <c r="F95" s="3"/>
      <c r="G95" s="3"/>
      <c r="H95" s="3"/>
      <c r="I95" s="3"/>
      <c r="J95" s="3"/>
      <c r="K95" s="3"/>
      <c r="L95" s="586"/>
      <c r="M95" s="167"/>
    </row>
    <row r="96" spans="1:13" ht="15" customHeight="1" hidden="1">
      <c r="A96" s="6"/>
      <c r="B96" s="6"/>
      <c r="C96" s="3"/>
      <c r="D96" s="42" t="s">
        <v>882</v>
      </c>
      <c r="E96" s="3">
        <v>0</v>
      </c>
      <c r="F96" s="3"/>
      <c r="G96" s="3"/>
      <c r="H96" s="3"/>
      <c r="I96" s="3"/>
      <c r="J96" s="3"/>
      <c r="K96" s="3"/>
      <c r="L96" s="586"/>
      <c r="M96" s="167"/>
    </row>
    <row r="97" spans="1:13" ht="14.25" customHeight="1">
      <c r="A97" s="201"/>
      <c r="B97" s="201"/>
      <c r="C97" s="182"/>
      <c r="D97" s="918" t="s">
        <v>710</v>
      </c>
      <c r="E97" s="182">
        <f>E8+E17</f>
        <v>1653121</v>
      </c>
      <c r="F97" s="182">
        <f aca="true" t="shared" si="18" ref="F97:K97">F8+F17</f>
        <v>289350</v>
      </c>
      <c r="G97" s="182">
        <f t="shared" si="18"/>
        <v>289350</v>
      </c>
      <c r="H97" s="182">
        <f t="shared" si="18"/>
        <v>0</v>
      </c>
      <c r="I97" s="182">
        <f t="shared" si="18"/>
        <v>0</v>
      </c>
      <c r="J97" s="182">
        <f t="shared" si="18"/>
        <v>289350</v>
      </c>
      <c r="K97" s="182">
        <f t="shared" si="18"/>
        <v>0</v>
      </c>
      <c r="L97" s="583"/>
      <c r="M97" s="583"/>
    </row>
    <row r="98" spans="12:13" ht="10.5" customHeight="1" hidden="1">
      <c r="L98" s="167"/>
      <c r="M98" s="167"/>
    </row>
    <row r="99" spans="1:13" ht="15" customHeight="1">
      <c r="A99" s="808" t="s">
        <v>239</v>
      </c>
      <c r="B99" s="808"/>
      <c r="C99" s="808"/>
      <c r="D99" s="808"/>
      <c r="E99" s="808"/>
      <c r="F99" s="808"/>
      <c r="G99" s="808"/>
      <c r="H99" s="808"/>
      <c r="I99" s="808"/>
      <c r="J99" s="808"/>
      <c r="K99" s="808"/>
      <c r="L99" s="587"/>
      <c r="M99" s="167"/>
    </row>
    <row r="100" spans="1:13" ht="15" customHeight="1">
      <c r="A100" s="72"/>
      <c r="B100" s="72"/>
      <c r="C100" s="72"/>
      <c r="D100" s="72" t="s">
        <v>236</v>
      </c>
      <c r="E100" s="72"/>
      <c r="F100" s="72"/>
      <c r="G100" s="72"/>
      <c r="H100" s="72"/>
      <c r="I100" s="72"/>
      <c r="J100" s="72"/>
      <c r="K100" s="72"/>
      <c r="L100" s="588"/>
      <c r="M100" s="167"/>
    </row>
    <row r="101" spans="1:13" ht="13.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588"/>
      <c r="M101" s="167"/>
    </row>
    <row r="102" spans="1:12" ht="14.2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</row>
    <row r="103" spans="1:12" ht="11.2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</row>
    <row r="104" spans="1:12" ht="12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</row>
    <row r="105" spans="1:12" ht="13.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</row>
    <row r="106" spans="1:12" ht="12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</row>
    <row r="107" spans="1:12" ht="18" customHeight="1">
      <c r="A107" s="807"/>
      <c r="B107" s="808"/>
      <c r="C107" s="808"/>
      <c r="D107" s="808"/>
      <c r="E107" s="808"/>
      <c r="F107" s="808"/>
      <c r="G107" s="808"/>
      <c r="H107" s="808"/>
      <c r="I107" s="808"/>
      <c r="J107" s="808"/>
      <c r="K107" s="808"/>
      <c r="L107" s="468"/>
    </row>
    <row r="108" spans="1:12" ht="14.2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</row>
    <row r="109" spans="1:12" ht="14.2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</row>
    <row r="110" spans="1:12" ht="15" customHeight="1">
      <c r="A110" s="27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</row>
    <row r="111" spans="1:12" ht="13.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</row>
    <row r="112" spans="1:12" ht="15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</row>
    <row r="113" spans="1:12" ht="15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1:12" ht="1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 ht="24.75" customHeight="1">
      <c r="A115" s="809"/>
      <c r="B115" s="809"/>
      <c r="C115" s="809"/>
      <c r="D115" s="809"/>
      <c r="E115" s="809"/>
      <c r="F115" s="809"/>
      <c r="G115" s="809"/>
      <c r="H115" s="809"/>
      <c r="I115" s="809"/>
      <c r="J115" s="809"/>
      <c r="K115" s="809"/>
      <c r="L115" s="469"/>
    </row>
    <row r="116" spans="1:12" ht="54.75" customHeight="1">
      <c r="A116" s="809"/>
      <c r="B116" s="809"/>
      <c r="C116" s="809"/>
      <c r="D116" s="809"/>
      <c r="E116" s="809"/>
      <c r="F116" s="809"/>
      <c r="G116" s="809"/>
      <c r="H116" s="809"/>
      <c r="I116" s="809"/>
      <c r="J116" s="809"/>
      <c r="K116" s="809"/>
      <c r="L116" s="469"/>
    </row>
    <row r="117" spans="1:12" ht="18" customHeight="1" hidden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</row>
    <row r="118" spans="1:12" ht="15.75" customHeight="1" hidden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</row>
    <row r="119" spans="1:12" ht="12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12" ht="47.25" customHeight="1">
      <c r="A120" s="810"/>
      <c r="B120" s="810"/>
      <c r="C120" s="810"/>
      <c r="D120" s="810"/>
      <c r="E120" s="810"/>
      <c r="F120" s="810"/>
      <c r="G120" s="810"/>
      <c r="H120" s="810"/>
      <c r="I120" s="810"/>
      <c r="J120" s="810"/>
      <c r="K120" s="810"/>
      <c r="L120" s="470"/>
    </row>
    <row r="121" spans="1:12" ht="26.25" customHeight="1">
      <c r="A121" s="809"/>
      <c r="B121" s="809"/>
      <c r="C121" s="809"/>
      <c r="D121" s="809"/>
      <c r="E121" s="809"/>
      <c r="F121" s="809"/>
      <c r="G121" s="809"/>
      <c r="H121" s="809"/>
      <c r="I121" s="809"/>
      <c r="J121" s="809"/>
      <c r="K121" s="809"/>
      <c r="L121" s="469"/>
    </row>
    <row r="122" spans="1:12" ht="16.5" customHeight="1">
      <c r="A122" s="27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</row>
    <row r="123" spans="1:12" ht="15" customHeight="1">
      <c r="A123" s="809"/>
      <c r="B123" s="809"/>
      <c r="C123" s="809"/>
      <c r="D123" s="809"/>
      <c r="E123" s="809"/>
      <c r="F123" s="809"/>
      <c r="G123" s="809"/>
      <c r="H123" s="809"/>
      <c r="I123" s="809"/>
      <c r="J123" s="809"/>
      <c r="K123" s="809"/>
      <c r="L123" s="469"/>
    </row>
    <row r="124" spans="1:12" ht="37.5" customHeight="1">
      <c r="A124" s="809"/>
      <c r="B124" s="809"/>
      <c r="C124" s="809"/>
      <c r="D124" s="809"/>
      <c r="E124" s="809"/>
      <c r="F124" s="809"/>
      <c r="G124" s="809"/>
      <c r="H124" s="809"/>
      <c r="I124" s="809"/>
      <c r="J124" s="809"/>
      <c r="K124" s="809"/>
      <c r="L124" s="469"/>
    </row>
    <row r="125" spans="1:12" ht="27.75" customHeight="1">
      <c r="A125" s="809"/>
      <c r="B125" s="809"/>
      <c r="C125" s="809"/>
      <c r="D125" s="809"/>
      <c r="E125" s="809"/>
      <c r="F125" s="809"/>
      <c r="G125" s="809"/>
      <c r="H125" s="809"/>
      <c r="I125" s="809"/>
      <c r="J125" s="809"/>
      <c r="K125" s="809"/>
      <c r="L125" s="469"/>
    </row>
    <row r="126" spans="1:12" ht="27.75" customHeight="1">
      <c r="A126" s="809"/>
      <c r="B126" s="809"/>
      <c r="C126" s="809"/>
      <c r="D126" s="809"/>
      <c r="E126" s="809"/>
      <c r="F126" s="809"/>
      <c r="G126" s="809"/>
      <c r="H126" s="809"/>
      <c r="I126" s="809"/>
      <c r="J126" s="809"/>
      <c r="K126" s="809"/>
      <c r="L126" s="469"/>
    </row>
    <row r="127" spans="1:12" ht="12.75">
      <c r="A127" s="807"/>
      <c r="B127" s="808"/>
      <c r="C127" s="808"/>
      <c r="D127" s="808"/>
      <c r="E127" s="808"/>
      <c r="F127" s="808"/>
      <c r="G127" s="808"/>
      <c r="H127" s="808"/>
      <c r="I127" s="808"/>
      <c r="J127" s="808"/>
      <c r="K127" s="808"/>
      <c r="L127" s="468"/>
    </row>
    <row r="128" spans="1:12" ht="12.7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</row>
    <row r="129" spans="1:12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</row>
    <row r="130" spans="1:12" ht="12.7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</row>
    <row r="131" spans="1:12" ht="12.7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</row>
    <row r="132" spans="1:12" ht="29.25" customHeight="1">
      <c r="A132" s="72"/>
      <c r="B132" s="72"/>
      <c r="C132" s="72"/>
      <c r="D132" s="806"/>
      <c r="E132" s="806"/>
      <c r="F132" s="806"/>
      <c r="G132" s="806"/>
      <c r="H132" s="806"/>
      <c r="I132" s="806"/>
      <c r="J132" s="806"/>
      <c r="K132" s="806"/>
      <c r="L132" s="467"/>
    </row>
  </sheetData>
  <mergeCells count="22">
    <mergeCell ref="C1:K1"/>
    <mergeCell ref="A2:K2"/>
    <mergeCell ref="A4:C5"/>
    <mergeCell ref="F4:F6"/>
    <mergeCell ref="G5:G6"/>
    <mergeCell ref="H5:J5"/>
    <mergeCell ref="G4:K4"/>
    <mergeCell ref="A107:K107"/>
    <mergeCell ref="A116:K116"/>
    <mergeCell ref="A115:K115"/>
    <mergeCell ref="D4:D6"/>
    <mergeCell ref="E4:E6"/>
    <mergeCell ref="K5:K6"/>
    <mergeCell ref="A99:K99"/>
    <mergeCell ref="D132:K132"/>
    <mergeCell ref="A127:K127"/>
    <mergeCell ref="A123:K123"/>
    <mergeCell ref="A120:K120"/>
    <mergeCell ref="A121:K121"/>
    <mergeCell ref="A125:K125"/>
    <mergeCell ref="A126:K126"/>
    <mergeCell ref="A124:K124"/>
  </mergeCells>
  <printOptions/>
  <pageMargins left="0.984251968503937" right="0.984251968503937" top="0.3937007874015748" bottom="0.5118110236220472" header="0.5118110236220472" footer="0.5118110236220472"/>
  <pageSetup horizontalDpi="360" verticalDpi="360" orientation="landscape" paperSize="9" scale="94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1" sqref="C1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727"/>
      <c r="F1" s="727"/>
      <c r="G1" s="727"/>
      <c r="H1" s="727"/>
      <c r="I1" s="727"/>
      <c r="J1" s="727"/>
      <c r="K1" s="727"/>
    </row>
    <row r="2" spans="3:11" ht="21" customHeight="1">
      <c r="C2" s="816" t="s">
        <v>79</v>
      </c>
      <c r="D2" s="816"/>
      <c r="E2" s="816"/>
      <c r="F2" s="816"/>
      <c r="G2" s="816"/>
      <c r="H2" s="816"/>
      <c r="I2" s="816"/>
      <c r="J2" s="816"/>
      <c r="K2" s="816"/>
    </row>
    <row r="3" spans="3:11" ht="21" customHeight="1">
      <c r="C3" s="151"/>
      <c r="D3" s="151"/>
      <c r="E3" s="151"/>
      <c r="F3" s="151"/>
      <c r="G3" s="151"/>
      <c r="H3" s="151"/>
      <c r="I3" s="151"/>
      <c r="J3" s="151"/>
      <c r="K3" s="151"/>
    </row>
    <row r="4" spans="3:11" ht="12.75">
      <c r="C4" s="816"/>
      <c r="D4" s="816"/>
      <c r="E4" s="816"/>
      <c r="F4" s="816"/>
      <c r="G4" s="816"/>
      <c r="H4" s="816"/>
      <c r="I4" s="816"/>
      <c r="J4" s="816"/>
      <c r="K4" s="816"/>
    </row>
    <row r="5" spans="1:11" ht="28.5" customHeight="1">
      <c r="A5" s="817" t="s">
        <v>240</v>
      </c>
      <c r="B5" s="817"/>
      <c r="C5" s="817"/>
      <c r="D5" s="817"/>
      <c r="E5" s="817"/>
      <c r="F5" s="817"/>
      <c r="G5" s="817"/>
      <c r="H5" s="817"/>
      <c r="I5" s="817"/>
      <c r="J5" s="817"/>
      <c r="K5" s="81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9" customHeight="1">
      <c r="A7" s="814" t="s">
        <v>749</v>
      </c>
      <c r="B7" s="814" t="s">
        <v>740</v>
      </c>
      <c r="C7" s="822" t="s">
        <v>886</v>
      </c>
      <c r="D7" s="823"/>
      <c r="E7" s="818" t="s">
        <v>456</v>
      </c>
      <c r="F7" s="819"/>
      <c r="G7" s="822" t="s">
        <v>887</v>
      </c>
      <c r="H7" s="823"/>
      <c r="I7" s="453"/>
      <c r="J7" s="453"/>
      <c r="K7" s="813" t="s">
        <v>888</v>
      </c>
    </row>
    <row r="8" spans="1:11" ht="37.5" customHeight="1">
      <c r="A8" s="815"/>
      <c r="B8" s="815"/>
      <c r="C8" s="824"/>
      <c r="D8" s="825"/>
      <c r="E8" s="820"/>
      <c r="F8" s="821"/>
      <c r="G8" s="824"/>
      <c r="H8" s="825"/>
      <c r="I8" s="454"/>
      <c r="J8" s="454"/>
      <c r="K8" s="813"/>
    </row>
    <row r="9" spans="1:11" ht="14.25" customHeight="1">
      <c r="A9" s="90">
        <v>1</v>
      </c>
      <c r="B9" s="90">
        <v>2</v>
      </c>
      <c r="C9" s="92">
        <v>3</v>
      </c>
      <c r="D9" s="93"/>
      <c r="E9" s="94">
        <v>4</v>
      </c>
      <c r="F9" s="95"/>
      <c r="G9" s="2">
        <v>7</v>
      </c>
      <c r="H9" s="2"/>
      <c r="I9" s="2"/>
      <c r="J9" s="2"/>
      <c r="K9" s="67">
        <v>10</v>
      </c>
    </row>
    <row r="10" spans="1:11" ht="38.25">
      <c r="A10" s="199" t="s">
        <v>485</v>
      </c>
      <c r="B10" s="323" t="s">
        <v>715</v>
      </c>
      <c r="C10" s="199">
        <f>C12+C15+C17+C19+C24</f>
        <v>11270</v>
      </c>
      <c r="D10" s="199">
        <f>D11+D12+D13+D14+D15+D16+D17+D18+D19+D20+D21+D22+D23</f>
        <v>18301</v>
      </c>
      <c r="E10" s="199">
        <f>E12+E15+E17+E19+E24</f>
        <v>215850</v>
      </c>
      <c r="F10" s="199">
        <f>F11+F12+F13+F14+F15+F16+F17+F18+F19+F20+F21+F22+F23</f>
        <v>419470</v>
      </c>
      <c r="G10" s="199">
        <f>G12+G15+G17+G19+G24</f>
        <v>223499</v>
      </c>
      <c r="H10" s="199">
        <f>H11+H12+H13+H14+H15+H16+H17+H18+H19+H20+H21+H22+H23</f>
        <v>424812</v>
      </c>
      <c r="I10" s="199"/>
      <c r="J10" s="199"/>
      <c r="K10" s="199">
        <f>K12+K15+K17+K19+K24</f>
        <v>3621</v>
      </c>
    </row>
    <row r="11" spans="1:11" ht="25.5" hidden="1">
      <c r="A11" s="6" t="s">
        <v>493</v>
      </c>
      <c r="B11" s="7" t="s">
        <v>871</v>
      </c>
      <c r="C11" s="6">
        <v>0</v>
      </c>
      <c r="D11" s="6">
        <v>5558</v>
      </c>
      <c r="E11" s="6">
        <v>0</v>
      </c>
      <c r="F11" s="6">
        <v>182220</v>
      </c>
      <c r="G11" s="6">
        <v>0</v>
      </c>
      <c r="H11" s="6">
        <v>181928</v>
      </c>
      <c r="I11" s="6"/>
      <c r="J11" s="6"/>
      <c r="K11" s="6">
        <f>C11+E11-G11</f>
        <v>0</v>
      </c>
    </row>
    <row r="12" spans="1:11" ht="25.5">
      <c r="A12" s="6" t="s">
        <v>493</v>
      </c>
      <c r="B12" s="7" t="s">
        <v>586</v>
      </c>
      <c r="C12" s="6">
        <v>0</v>
      </c>
      <c r="D12" s="6">
        <v>2200</v>
      </c>
      <c r="E12" s="6">
        <v>97100</v>
      </c>
      <c r="F12" s="6">
        <v>99450</v>
      </c>
      <c r="G12" s="6">
        <v>97100</v>
      </c>
      <c r="H12" s="6">
        <v>100550</v>
      </c>
      <c r="I12" s="6"/>
      <c r="J12" s="6"/>
      <c r="K12" s="6">
        <f>C12+E12-G12</f>
        <v>0</v>
      </c>
    </row>
    <row r="13" spans="1:11" ht="25.5" hidden="1">
      <c r="A13" s="6" t="s">
        <v>496</v>
      </c>
      <c r="B13" s="7" t="s">
        <v>750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/>
      <c r="J13" s="6"/>
      <c r="K13" s="6">
        <v>0</v>
      </c>
    </row>
    <row r="14" spans="1:11" ht="25.5" hidden="1">
      <c r="A14" s="6" t="s">
        <v>498</v>
      </c>
      <c r="B14" s="7" t="s">
        <v>753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/>
      <c r="J14" s="6"/>
      <c r="K14" s="6">
        <v>0</v>
      </c>
    </row>
    <row r="15" spans="1:11" ht="31.5" customHeight="1">
      <c r="A15" s="6">
        <v>2</v>
      </c>
      <c r="B15" s="7" t="s">
        <v>84</v>
      </c>
      <c r="C15" s="6">
        <v>5649</v>
      </c>
      <c r="D15" s="6">
        <v>6009</v>
      </c>
      <c r="E15" s="6">
        <v>81150</v>
      </c>
      <c r="F15" s="6">
        <v>101000</v>
      </c>
      <c r="G15" s="6">
        <v>83799</v>
      </c>
      <c r="H15" s="6">
        <v>101000</v>
      </c>
      <c r="I15" s="6"/>
      <c r="J15" s="6"/>
      <c r="K15" s="6">
        <f>C15+E15-G15</f>
        <v>3000</v>
      </c>
    </row>
    <row r="16" spans="1:11" ht="25.5" hidden="1">
      <c r="A16" s="6" t="s">
        <v>529</v>
      </c>
      <c r="B16" s="7" t="s">
        <v>754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/>
      <c r="J16" s="6"/>
      <c r="K16" s="6">
        <f aca="true" t="shared" si="0" ref="K16:K24">C16+E16-G16</f>
        <v>0</v>
      </c>
    </row>
    <row r="17" spans="1:11" ht="38.25" customHeight="1">
      <c r="A17" s="6">
        <v>3</v>
      </c>
      <c r="B17" s="7" t="s">
        <v>85</v>
      </c>
      <c r="C17" s="6">
        <v>1021</v>
      </c>
      <c r="D17" s="6">
        <v>0</v>
      </c>
      <c r="E17" s="6">
        <v>7100</v>
      </c>
      <c r="F17" s="6">
        <v>8100</v>
      </c>
      <c r="G17" s="6">
        <v>7500</v>
      </c>
      <c r="H17" s="6">
        <v>8100</v>
      </c>
      <c r="I17" s="6"/>
      <c r="J17" s="6"/>
      <c r="K17" s="6">
        <f t="shared" si="0"/>
        <v>621</v>
      </c>
    </row>
    <row r="18" spans="1:11" ht="25.5" hidden="1">
      <c r="A18" s="6" t="s">
        <v>517</v>
      </c>
      <c r="B18" s="7" t="s">
        <v>755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/>
      <c r="J18" s="6"/>
      <c r="K18" s="6">
        <f t="shared" si="0"/>
        <v>0</v>
      </c>
    </row>
    <row r="19" spans="1:11" ht="20.25" customHeight="1">
      <c r="A19" s="6">
        <v>4</v>
      </c>
      <c r="B19" s="7" t="s">
        <v>756</v>
      </c>
      <c r="C19" s="6">
        <v>4600</v>
      </c>
      <c r="D19" s="6">
        <v>4534</v>
      </c>
      <c r="E19" s="6">
        <v>500</v>
      </c>
      <c r="F19" s="6">
        <v>5200</v>
      </c>
      <c r="G19" s="6">
        <v>5100</v>
      </c>
      <c r="H19" s="6">
        <v>9734</v>
      </c>
      <c r="I19" s="6"/>
      <c r="J19" s="6"/>
      <c r="K19" s="6">
        <f t="shared" si="0"/>
        <v>0</v>
      </c>
    </row>
    <row r="20" spans="1:11" ht="27" customHeight="1" hidden="1">
      <c r="A20" s="6" t="s">
        <v>587</v>
      </c>
      <c r="B20" s="7" t="s">
        <v>757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/>
      <c r="J20" s="6"/>
      <c r="K20" s="6">
        <f t="shared" si="0"/>
        <v>0</v>
      </c>
    </row>
    <row r="21" spans="1:11" ht="25.5" hidden="1">
      <c r="A21" s="6" t="s">
        <v>529</v>
      </c>
      <c r="B21" s="7" t="s">
        <v>588</v>
      </c>
      <c r="C21" s="6">
        <v>0</v>
      </c>
      <c r="D21" s="6">
        <v>0</v>
      </c>
      <c r="E21" s="6">
        <v>15000</v>
      </c>
      <c r="F21" s="6">
        <v>23500</v>
      </c>
      <c r="G21" s="6">
        <v>15000</v>
      </c>
      <c r="H21" s="6">
        <v>23500</v>
      </c>
      <c r="I21" s="6"/>
      <c r="J21" s="6"/>
      <c r="K21" s="6">
        <f t="shared" si="0"/>
        <v>0</v>
      </c>
    </row>
    <row r="22" spans="1:11" ht="25.5" hidden="1">
      <c r="A22" s="6" t="s">
        <v>589</v>
      </c>
      <c r="B22" s="7" t="s">
        <v>758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/>
      <c r="J22" s="6"/>
      <c r="K22" s="6">
        <f t="shared" si="0"/>
        <v>0</v>
      </c>
    </row>
    <row r="23" spans="1:11" ht="26.25" customHeight="1" hidden="1">
      <c r="A23" s="6" t="s">
        <v>530</v>
      </c>
      <c r="B23" s="7" t="s">
        <v>759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/>
      <c r="J23" s="6"/>
      <c r="K23" s="6">
        <f t="shared" si="0"/>
        <v>0</v>
      </c>
    </row>
    <row r="24" spans="1:11" ht="29.25" customHeight="1">
      <c r="A24" s="6">
        <v>5</v>
      </c>
      <c r="B24" s="7" t="s">
        <v>588</v>
      </c>
      <c r="C24" s="6">
        <v>0</v>
      </c>
      <c r="D24" s="6"/>
      <c r="E24" s="6">
        <v>30000</v>
      </c>
      <c r="F24" s="6"/>
      <c r="G24" s="6">
        <v>30000</v>
      </c>
      <c r="H24" s="6"/>
      <c r="I24" s="6"/>
      <c r="J24" s="6"/>
      <c r="K24" s="6">
        <f t="shared" si="0"/>
        <v>0</v>
      </c>
    </row>
    <row r="27" ht="12.75">
      <c r="E27" t="s">
        <v>237</v>
      </c>
    </row>
  </sheetData>
  <mergeCells count="10">
    <mergeCell ref="E1:K1"/>
    <mergeCell ref="K7:K8"/>
    <mergeCell ref="B7:B8"/>
    <mergeCell ref="C2:K2"/>
    <mergeCell ref="A5:K5"/>
    <mergeCell ref="A7:A8"/>
    <mergeCell ref="E7:F8"/>
    <mergeCell ref="G7:H8"/>
    <mergeCell ref="C7:D8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30" sqref="A30:F30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48.00390625" style="0" customWidth="1"/>
    <col min="6" max="6" width="17.875" style="0" customWidth="1"/>
    <col min="7" max="7" width="9.625" style="0" bestFit="1" customWidth="1"/>
  </cols>
  <sheetData>
    <row r="1" spans="5:6" ht="17.25" customHeight="1">
      <c r="E1" s="701" t="s">
        <v>921</v>
      </c>
      <c r="F1" s="701"/>
    </row>
    <row r="2" spans="5:6" ht="15.75" customHeight="1">
      <c r="E2" s="701" t="s">
        <v>927</v>
      </c>
      <c r="F2" s="701"/>
    </row>
    <row r="3" spans="5:6" ht="13.5" customHeight="1">
      <c r="E3" s="701" t="s">
        <v>575</v>
      </c>
      <c r="F3" s="701"/>
    </row>
    <row r="4" spans="1:6" ht="63" customHeight="1" thickBot="1">
      <c r="A4" s="826" t="s">
        <v>249</v>
      </c>
      <c r="B4" s="826"/>
      <c r="C4" s="826"/>
      <c r="D4" s="826"/>
      <c r="E4" s="826"/>
      <c r="F4" s="826"/>
    </row>
    <row r="5" spans="1:6" ht="24.75" customHeight="1">
      <c r="A5" s="589" t="s">
        <v>482</v>
      </c>
      <c r="B5" s="590" t="s">
        <v>415</v>
      </c>
      <c r="C5" s="591" t="s">
        <v>416</v>
      </c>
      <c r="D5" s="590" t="s">
        <v>905</v>
      </c>
      <c r="E5" s="590" t="s">
        <v>817</v>
      </c>
      <c r="F5" s="592" t="s">
        <v>818</v>
      </c>
    </row>
    <row r="6" spans="1:6" ht="10.5" customHeight="1">
      <c r="A6" s="593">
        <v>1</v>
      </c>
      <c r="B6" s="101">
        <v>2</v>
      </c>
      <c r="C6" s="101">
        <v>3</v>
      </c>
      <c r="D6" s="101">
        <v>4</v>
      </c>
      <c r="E6" s="101">
        <v>5</v>
      </c>
      <c r="F6" s="594">
        <v>6</v>
      </c>
    </row>
    <row r="7" spans="1:7" ht="18.75" customHeight="1">
      <c r="A7" s="199" t="s">
        <v>493</v>
      </c>
      <c r="B7" s="199">
        <v>801</v>
      </c>
      <c r="C7" s="199"/>
      <c r="D7" s="199"/>
      <c r="E7" s="323" t="s">
        <v>890</v>
      </c>
      <c r="F7" s="618">
        <f>F8+F9</f>
        <v>49749</v>
      </c>
      <c r="G7" s="107"/>
    </row>
    <row r="8" spans="1:7" ht="17.25" customHeight="1">
      <c r="A8" s="595"/>
      <c r="B8" s="128"/>
      <c r="C8" s="128">
        <v>80120</v>
      </c>
      <c r="D8" s="128">
        <v>2540</v>
      </c>
      <c r="E8" s="619" t="s">
        <v>891</v>
      </c>
      <c r="F8" s="620">
        <v>36759</v>
      </c>
      <c r="G8" s="107"/>
    </row>
    <row r="9" spans="1:6" ht="17.25" customHeight="1">
      <c r="A9" s="595"/>
      <c r="B9" s="128"/>
      <c r="C9" s="128">
        <v>80130</v>
      </c>
      <c r="D9" s="128">
        <v>2540</v>
      </c>
      <c r="E9" s="129" t="s">
        <v>892</v>
      </c>
      <c r="F9" s="596">
        <v>12990</v>
      </c>
    </row>
    <row r="10" spans="1:6" ht="12.75" hidden="1">
      <c r="A10" s="595"/>
      <c r="B10" s="128"/>
      <c r="C10" s="128"/>
      <c r="D10" s="128"/>
      <c r="E10" s="131" t="s">
        <v>821</v>
      </c>
      <c r="F10" s="597">
        <v>0</v>
      </c>
    </row>
    <row r="11" spans="1:6" ht="24.75" customHeight="1">
      <c r="A11" s="199" t="s">
        <v>494</v>
      </c>
      <c r="B11" s="199">
        <v>801</v>
      </c>
      <c r="C11" s="199"/>
      <c r="D11" s="199"/>
      <c r="E11" s="323" t="s">
        <v>893</v>
      </c>
      <c r="F11" s="618">
        <f>F12+F13</f>
        <v>254381</v>
      </c>
    </row>
    <row r="12" spans="1:6" ht="18.75" customHeight="1">
      <c r="A12" s="595"/>
      <c r="B12" s="128"/>
      <c r="C12" s="128">
        <v>80120</v>
      </c>
      <c r="D12" s="128">
        <v>2540</v>
      </c>
      <c r="E12" s="619" t="s">
        <v>894</v>
      </c>
      <c r="F12" s="620">
        <v>204276</v>
      </c>
    </row>
    <row r="13" spans="1:6" ht="18.75" customHeight="1">
      <c r="A13" s="595"/>
      <c r="B13" s="128"/>
      <c r="C13" s="128">
        <v>80130</v>
      </c>
      <c r="D13" s="128">
        <v>2540</v>
      </c>
      <c r="E13" s="129" t="s">
        <v>895</v>
      </c>
      <c r="F13" s="596">
        <v>50105</v>
      </c>
    </row>
    <row r="14" spans="1:6" ht="12.75" hidden="1">
      <c r="A14" s="598" t="s">
        <v>498</v>
      </c>
      <c r="B14" s="133"/>
      <c r="C14" s="133"/>
      <c r="D14" s="133"/>
      <c r="E14" s="127" t="s">
        <v>819</v>
      </c>
      <c r="F14" s="599">
        <f>F15</f>
        <v>0</v>
      </c>
    </row>
    <row r="15" spans="1:6" ht="24" customHeight="1" hidden="1">
      <c r="A15" s="600"/>
      <c r="B15" s="128"/>
      <c r="C15" s="128"/>
      <c r="D15" s="128"/>
      <c r="E15" s="131" t="s">
        <v>820</v>
      </c>
      <c r="F15" s="597">
        <v>0</v>
      </c>
    </row>
    <row r="16" spans="1:7" ht="25.5" customHeight="1">
      <c r="A16" s="199" t="s">
        <v>496</v>
      </c>
      <c r="B16" s="199">
        <v>801</v>
      </c>
      <c r="C16" s="199"/>
      <c r="D16" s="199"/>
      <c r="E16" s="323" t="s">
        <v>896</v>
      </c>
      <c r="F16" s="618">
        <f>F17+F18+F19+F20</f>
        <v>1012066</v>
      </c>
      <c r="G16" s="107"/>
    </row>
    <row r="17" spans="1:6" ht="12.75">
      <c r="A17" s="595"/>
      <c r="B17" s="345"/>
      <c r="C17" s="345">
        <v>80102</v>
      </c>
      <c r="D17" s="345">
        <v>2540</v>
      </c>
      <c r="E17" s="621" t="s">
        <v>717</v>
      </c>
      <c r="F17" s="620">
        <v>448002</v>
      </c>
    </row>
    <row r="18" spans="1:6" ht="12.75">
      <c r="A18" s="595"/>
      <c r="B18" s="345"/>
      <c r="C18" s="345">
        <v>80105</v>
      </c>
      <c r="D18" s="345">
        <v>2540</v>
      </c>
      <c r="E18" s="135" t="s">
        <v>716</v>
      </c>
      <c r="F18" s="596">
        <v>71205</v>
      </c>
    </row>
    <row r="19" spans="1:6" ht="12.75">
      <c r="A19" s="595"/>
      <c r="B19" s="345"/>
      <c r="C19" s="345">
        <v>80111</v>
      </c>
      <c r="D19" s="345">
        <v>2540</v>
      </c>
      <c r="E19" s="135" t="s">
        <v>897</v>
      </c>
      <c r="F19" s="596">
        <v>239724</v>
      </c>
    </row>
    <row r="20" spans="1:6" ht="22.5">
      <c r="A20" s="600"/>
      <c r="B20" s="345"/>
      <c r="C20" s="345">
        <v>80134</v>
      </c>
      <c r="D20" s="345">
        <v>2540</v>
      </c>
      <c r="E20" s="136" t="s">
        <v>898</v>
      </c>
      <c r="F20" s="597">
        <v>253135</v>
      </c>
    </row>
    <row r="21" spans="1:6" ht="12.75" hidden="1">
      <c r="A21" s="595"/>
      <c r="B21" s="128"/>
      <c r="C21" s="128"/>
      <c r="D21" s="128"/>
      <c r="E21" s="188"/>
      <c r="F21" s="601"/>
    </row>
    <row r="22" spans="1:6" ht="28.5" customHeight="1">
      <c r="A22" s="199" t="s">
        <v>498</v>
      </c>
      <c r="B22" s="199">
        <v>801</v>
      </c>
      <c r="C22" s="199"/>
      <c r="D22" s="199"/>
      <c r="E22" s="323" t="s">
        <v>250</v>
      </c>
      <c r="F22" s="618">
        <f>F23</f>
        <v>10905</v>
      </c>
    </row>
    <row r="23" spans="1:6" ht="15" customHeight="1">
      <c r="A23" s="602"/>
      <c r="B23" s="342"/>
      <c r="C23" s="345">
        <v>80120</v>
      </c>
      <c r="D23" s="345">
        <v>2540</v>
      </c>
      <c r="E23" s="188" t="s">
        <v>894</v>
      </c>
      <c r="F23" s="601">
        <v>10905</v>
      </c>
    </row>
    <row r="24" spans="1:6" ht="22.5" customHeight="1">
      <c r="A24" s="199" t="s">
        <v>500</v>
      </c>
      <c r="B24" s="199">
        <v>801</v>
      </c>
      <c r="C24" s="199"/>
      <c r="D24" s="199"/>
      <c r="E24" s="323" t="s">
        <v>251</v>
      </c>
      <c r="F24" s="618">
        <f>F25</f>
        <v>17089</v>
      </c>
    </row>
    <row r="25" spans="1:6" ht="14.25" customHeight="1" thickBot="1">
      <c r="A25" s="595"/>
      <c r="B25" s="345"/>
      <c r="C25" s="345">
        <v>80120</v>
      </c>
      <c r="D25" s="345">
        <v>2540</v>
      </c>
      <c r="E25" s="188" t="s">
        <v>894</v>
      </c>
      <c r="F25" s="601">
        <v>17089</v>
      </c>
    </row>
    <row r="26" spans="1:6" ht="12.75">
      <c r="A26" s="612"/>
      <c r="B26" s="613">
        <v>801</v>
      </c>
      <c r="C26" s="614"/>
      <c r="D26" s="614"/>
      <c r="E26" s="615" t="s">
        <v>252</v>
      </c>
      <c r="F26" s="616">
        <f>F7+F11+F16+F22+F24</f>
        <v>1344190</v>
      </c>
    </row>
    <row r="27" spans="1:6" ht="17.25" customHeight="1">
      <c r="A27" s="199" t="s">
        <v>529</v>
      </c>
      <c r="B27" s="199">
        <v>851</v>
      </c>
      <c r="C27" s="199"/>
      <c r="D27" s="199"/>
      <c r="E27" s="323" t="s">
        <v>255</v>
      </c>
      <c r="F27" s="618">
        <f>F28</f>
        <v>287000</v>
      </c>
    </row>
    <row r="28" spans="1:6" ht="13.5" thickBot="1">
      <c r="A28" s="602"/>
      <c r="B28" s="342"/>
      <c r="C28" s="342">
        <v>85111</v>
      </c>
      <c r="D28" s="342">
        <v>2560</v>
      </c>
      <c r="E28" s="346" t="s">
        <v>253</v>
      </c>
      <c r="F28" s="617">
        <v>287000</v>
      </c>
    </row>
    <row r="29" spans="1:6" ht="13.5" thickBot="1">
      <c r="A29" s="430"/>
      <c r="B29" s="429">
        <v>851</v>
      </c>
      <c r="C29" s="429"/>
      <c r="D29" s="429"/>
      <c r="E29" s="431" t="s">
        <v>254</v>
      </c>
      <c r="F29" s="432">
        <f>F27</f>
        <v>287000</v>
      </c>
    </row>
    <row r="30" spans="1:6" ht="18" customHeight="1" thickBot="1">
      <c r="A30" s="919"/>
      <c r="B30" s="920"/>
      <c r="C30" s="920"/>
      <c r="D30" s="920"/>
      <c r="E30" s="921" t="s">
        <v>256</v>
      </c>
      <c r="F30" s="922">
        <f>F26+F29</f>
        <v>1631190</v>
      </c>
    </row>
    <row r="31" spans="1:6" ht="12.75">
      <c r="A31" s="72"/>
      <c r="B31" s="72"/>
      <c r="C31" s="72"/>
      <c r="D31" s="72"/>
      <c r="E31" s="72"/>
      <c r="F31" s="347"/>
    </row>
    <row r="32" spans="1:6" ht="12.75">
      <c r="A32" s="72"/>
      <c r="B32" s="72"/>
      <c r="C32" s="72"/>
      <c r="D32" s="72"/>
      <c r="E32" s="610" t="s">
        <v>928</v>
      </c>
      <c r="F32" s="347"/>
    </row>
    <row r="33" spans="1:6" ht="16.5" customHeight="1">
      <c r="A33" s="72"/>
      <c r="B33" s="72"/>
      <c r="C33" s="72"/>
      <c r="D33" s="72"/>
      <c r="E33" s="72"/>
      <c r="F33" s="347"/>
    </row>
    <row r="34" spans="1:6" ht="48" customHeight="1">
      <c r="A34" s="72"/>
      <c r="B34" s="72"/>
      <c r="C34" s="72"/>
      <c r="D34" s="72"/>
      <c r="E34" s="72"/>
      <c r="F34" s="347"/>
    </row>
    <row r="35" spans="1:6" ht="12.75">
      <c r="A35" s="72"/>
      <c r="B35" s="72"/>
      <c r="C35" s="72"/>
      <c r="D35" s="72"/>
      <c r="E35" s="72"/>
      <c r="F35" s="347"/>
    </row>
    <row r="36" spans="1:6" ht="12.75">
      <c r="A36" s="72"/>
      <c r="B36" s="72"/>
      <c r="C36" s="72"/>
      <c r="D36" s="72"/>
      <c r="E36" s="72"/>
      <c r="F36" s="347"/>
    </row>
    <row r="37" spans="1:6" ht="12.75">
      <c r="A37" s="72"/>
      <c r="B37" s="72"/>
      <c r="C37" s="72"/>
      <c r="D37" s="72"/>
      <c r="E37" s="72"/>
      <c r="F37" s="347"/>
    </row>
    <row r="38" spans="1:6" ht="12.75">
      <c r="A38" s="72"/>
      <c r="B38" s="72"/>
      <c r="C38" s="72"/>
      <c r="D38" s="72"/>
      <c r="E38" s="72"/>
      <c r="F38" s="347"/>
    </row>
    <row r="39" spans="1:6" ht="12.75">
      <c r="A39" s="72"/>
      <c r="B39" s="72"/>
      <c r="C39" s="72"/>
      <c r="D39" s="72"/>
      <c r="E39" s="72"/>
      <c r="F39" s="347"/>
    </row>
    <row r="40" spans="1:6" ht="12.75">
      <c r="A40" s="72"/>
      <c r="B40" s="72"/>
      <c r="C40" s="72"/>
      <c r="D40" s="72"/>
      <c r="E40" s="72"/>
      <c r="F40" s="347"/>
    </row>
    <row r="41" spans="1:6" ht="12.75">
      <c r="A41" s="72"/>
      <c r="B41" s="72"/>
      <c r="C41" s="72"/>
      <c r="D41" s="72"/>
      <c r="E41" s="72"/>
      <c r="F41" s="347"/>
    </row>
    <row r="42" spans="1:6" ht="12.75">
      <c r="A42" s="72"/>
      <c r="B42" s="72"/>
      <c r="C42" s="72"/>
      <c r="D42" s="72"/>
      <c r="E42" s="72"/>
      <c r="F42" s="347"/>
    </row>
    <row r="43" spans="1:6" ht="12.75">
      <c r="A43" s="72"/>
      <c r="B43" s="72"/>
      <c r="C43" s="72"/>
      <c r="D43" s="72"/>
      <c r="E43" s="72"/>
      <c r="F43" s="347"/>
    </row>
    <row r="44" spans="1:6" ht="12.75">
      <c r="A44" s="72"/>
      <c r="B44" s="72"/>
      <c r="C44" s="72"/>
      <c r="D44" s="72"/>
      <c r="E44" s="72"/>
      <c r="F44" s="72"/>
    </row>
  </sheetData>
  <mergeCells count="4">
    <mergeCell ref="A4:F4"/>
    <mergeCell ref="E1:F1"/>
    <mergeCell ref="E2:F2"/>
    <mergeCell ref="E3:F3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" sqref="A2:G2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8.375" style="0" customWidth="1"/>
    <col min="4" max="4" width="6.125" style="0" customWidth="1"/>
    <col min="5" max="5" width="34.625" style="0" customWidth="1"/>
    <col min="6" max="6" width="22.125" style="0" customWidth="1"/>
    <col min="7" max="7" width="2.75390625" style="0" hidden="1" customWidth="1"/>
  </cols>
  <sheetData>
    <row r="1" spans="6:7" ht="60" customHeight="1">
      <c r="F1" s="660" t="s">
        <v>922</v>
      </c>
      <c r="G1" s="660"/>
    </row>
    <row r="2" spans="1:7" ht="73.5" customHeight="1">
      <c r="A2" s="833" t="s">
        <v>248</v>
      </c>
      <c r="B2" s="833"/>
      <c r="C2" s="833"/>
      <c r="D2" s="833"/>
      <c r="E2" s="833"/>
      <c r="F2" s="833"/>
      <c r="G2" s="833"/>
    </row>
    <row r="3" spans="5:7" ht="12.75">
      <c r="E3" s="120"/>
      <c r="F3" s="120"/>
      <c r="G3" s="120"/>
    </row>
    <row r="5" ht="7.5" customHeight="1" thickBot="1">
      <c r="G5" s="102" t="s">
        <v>850</v>
      </c>
    </row>
    <row r="6" spans="1:8" ht="30" customHeight="1">
      <c r="A6" s="438" t="s">
        <v>435</v>
      </c>
      <c r="B6" s="439" t="s">
        <v>415</v>
      </c>
      <c r="C6" s="439" t="s">
        <v>416</v>
      </c>
      <c r="D6" s="439" t="s">
        <v>905</v>
      </c>
      <c r="E6" s="440" t="s">
        <v>861</v>
      </c>
      <c r="F6" s="831" t="s">
        <v>851</v>
      </c>
      <c r="G6" s="832"/>
      <c r="H6" s="156"/>
    </row>
    <row r="7" spans="1:8" ht="10.5" customHeight="1">
      <c r="A7" s="433">
        <v>1</v>
      </c>
      <c r="B7" s="434">
        <v>2</v>
      </c>
      <c r="C7" s="434">
        <v>3</v>
      </c>
      <c r="D7" s="434">
        <v>4</v>
      </c>
      <c r="E7" s="195">
        <v>5</v>
      </c>
      <c r="F7" s="434">
        <v>6</v>
      </c>
      <c r="G7" s="51"/>
      <c r="H7" s="156"/>
    </row>
    <row r="8" spans="1:8" ht="66.75" customHeight="1">
      <c r="A8" s="437" t="s">
        <v>493</v>
      </c>
      <c r="B8" s="436">
        <v>926</v>
      </c>
      <c r="C8" s="436">
        <v>92695</v>
      </c>
      <c r="D8" s="436">
        <v>2820</v>
      </c>
      <c r="E8" s="435" t="s">
        <v>863</v>
      </c>
      <c r="F8" s="829">
        <v>16000</v>
      </c>
      <c r="G8" s="830"/>
      <c r="H8" s="156"/>
    </row>
    <row r="9" spans="1:8" ht="22.5" customHeight="1" thickBot="1">
      <c r="A9" s="834" t="s">
        <v>862</v>
      </c>
      <c r="B9" s="828"/>
      <c r="C9" s="828"/>
      <c r="D9" s="828"/>
      <c r="E9" s="835"/>
      <c r="F9" s="827">
        <f>SUM(F8:F8)</f>
        <v>16000</v>
      </c>
      <c r="G9" s="828"/>
      <c r="H9" s="156"/>
    </row>
    <row r="10" ht="19.5" customHeight="1">
      <c r="F10" s="30"/>
    </row>
    <row r="11" ht="21" customHeight="1">
      <c r="F11" t="s">
        <v>238</v>
      </c>
    </row>
  </sheetData>
  <mergeCells count="6">
    <mergeCell ref="F1:G1"/>
    <mergeCell ref="F9:G9"/>
    <mergeCell ref="F8:G8"/>
    <mergeCell ref="F6:G6"/>
    <mergeCell ref="A2:G2"/>
    <mergeCell ref="A9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C10" sqref="C10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ht="12.75">
      <c r="C1" s="836" t="s">
        <v>923</v>
      </c>
    </row>
    <row r="2" ht="57.75" customHeight="1">
      <c r="C2" s="836"/>
    </row>
    <row r="3" spans="1:3" ht="39.75" customHeight="1">
      <c r="A3" s="837" t="s">
        <v>772</v>
      </c>
      <c r="B3" s="837"/>
      <c r="C3" s="837"/>
    </row>
    <row r="4" spans="1:3" ht="15.75">
      <c r="A4" s="82"/>
      <c r="B4" s="82"/>
      <c r="C4" s="1"/>
    </row>
    <row r="5" ht="13.5" thickBot="1">
      <c r="C5" s="31"/>
    </row>
    <row r="6" spans="1:3" ht="20.25" customHeight="1" thickBot="1">
      <c r="A6" s="448" t="s">
        <v>482</v>
      </c>
      <c r="B6" s="449" t="s">
        <v>740</v>
      </c>
      <c r="C6" s="450" t="s">
        <v>701</v>
      </c>
    </row>
    <row r="7" spans="1:3" ht="13.5" thickBot="1">
      <c r="A7" s="444" t="s">
        <v>485</v>
      </c>
      <c r="B7" s="445" t="s">
        <v>741</v>
      </c>
      <c r="C7" s="451">
        <f>C8+C9-C10</f>
        <v>15237</v>
      </c>
    </row>
    <row r="8" spans="1:3" ht="12.75">
      <c r="A8" s="83" t="s">
        <v>493</v>
      </c>
      <c r="B8" s="84" t="s">
        <v>742</v>
      </c>
      <c r="C8" s="29">
        <v>15237</v>
      </c>
    </row>
    <row r="9" spans="1:3" ht="12.75">
      <c r="A9" s="63" t="s">
        <v>494</v>
      </c>
      <c r="B9" s="85" t="s">
        <v>743</v>
      </c>
      <c r="C9" s="6">
        <v>0</v>
      </c>
    </row>
    <row r="10" spans="1:3" ht="12.75">
      <c r="A10" s="63" t="s">
        <v>496</v>
      </c>
      <c r="B10" s="85" t="s">
        <v>744</v>
      </c>
      <c r="C10" s="6">
        <v>0</v>
      </c>
    </row>
    <row r="11" spans="1:3" ht="13.5" thickBot="1">
      <c r="A11" s="66" t="s">
        <v>498</v>
      </c>
      <c r="B11" s="86" t="s">
        <v>745</v>
      </c>
      <c r="C11" s="49">
        <v>0</v>
      </c>
    </row>
    <row r="12" spans="1:3" ht="13.5" thickBot="1">
      <c r="A12" s="444" t="s">
        <v>487</v>
      </c>
      <c r="B12" s="445" t="s">
        <v>746</v>
      </c>
      <c r="C12" s="451">
        <f>C13+C14</f>
        <v>75000</v>
      </c>
    </row>
    <row r="13" spans="1:3" ht="13.5" thickBot="1">
      <c r="A13" s="96" t="s">
        <v>493</v>
      </c>
      <c r="B13" s="30" t="s">
        <v>768</v>
      </c>
      <c r="C13" s="28">
        <v>75000</v>
      </c>
    </row>
    <row r="14" spans="1:3" ht="27" customHeight="1" thickBot="1">
      <c r="A14" s="140" t="s">
        <v>494</v>
      </c>
      <c r="B14" s="141" t="s">
        <v>769</v>
      </c>
      <c r="C14" s="142">
        <v>0</v>
      </c>
    </row>
    <row r="15" spans="1:3" ht="13.5" thickBot="1">
      <c r="A15" s="444" t="s">
        <v>491</v>
      </c>
      <c r="B15" s="445" t="s">
        <v>413</v>
      </c>
      <c r="C15" s="452">
        <f>C16+C22</f>
        <v>85000</v>
      </c>
    </row>
    <row r="16" spans="1:3" ht="12.75">
      <c r="A16" s="87" t="s">
        <v>493</v>
      </c>
      <c r="B16" s="68" t="s">
        <v>747</v>
      </c>
      <c r="C16" s="36">
        <f>C17+C18+C21+C20+C19</f>
        <v>39000</v>
      </c>
    </row>
    <row r="17" spans="1:3" ht="24.75" customHeight="1">
      <c r="A17" s="63"/>
      <c r="B17" s="64" t="s">
        <v>773</v>
      </c>
      <c r="C17" s="6">
        <v>15000</v>
      </c>
    </row>
    <row r="18" spans="1:3" ht="24.75" customHeight="1">
      <c r="A18" s="63"/>
      <c r="B18" s="64" t="s">
        <v>676</v>
      </c>
      <c r="C18" s="6">
        <v>0</v>
      </c>
    </row>
    <row r="19" spans="1:3" ht="36" customHeight="1">
      <c r="A19" s="63"/>
      <c r="B19" s="64" t="s">
        <v>731</v>
      </c>
      <c r="C19" s="6">
        <v>5000</v>
      </c>
    </row>
    <row r="20" spans="1:3" ht="16.5" customHeight="1">
      <c r="A20" s="63"/>
      <c r="B20" s="64" t="s">
        <v>775</v>
      </c>
      <c r="C20" s="6">
        <v>11000</v>
      </c>
    </row>
    <row r="21" spans="1:3" ht="17.25" customHeight="1">
      <c r="A21" s="63"/>
      <c r="B21" s="64" t="s">
        <v>847</v>
      </c>
      <c r="C21" s="6">
        <v>8000</v>
      </c>
    </row>
    <row r="22" spans="1:3" ht="12.75">
      <c r="A22" s="70" t="s">
        <v>494</v>
      </c>
      <c r="B22" s="97" t="s">
        <v>774</v>
      </c>
      <c r="C22" s="5">
        <f>C23+C24+C25</f>
        <v>46000</v>
      </c>
    </row>
    <row r="23" spans="1:3" ht="12.75">
      <c r="A23" s="98"/>
      <c r="B23" s="99" t="s">
        <v>864</v>
      </c>
      <c r="C23" s="73">
        <v>6000</v>
      </c>
    </row>
    <row r="24" spans="1:3" ht="12.75">
      <c r="A24" s="98"/>
      <c r="B24" s="99" t="s">
        <v>770</v>
      </c>
      <c r="C24" s="73">
        <v>35000</v>
      </c>
    </row>
    <row r="25" spans="1:3" ht="24.75" customHeight="1" thickBot="1">
      <c r="A25" s="341"/>
      <c r="B25" s="343" t="s">
        <v>241</v>
      </c>
      <c r="C25" s="342">
        <v>5000</v>
      </c>
    </row>
    <row r="26" spans="1:3" ht="13.5" thickBot="1">
      <c r="A26" s="444" t="s">
        <v>678</v>
      </c>
      <c r="B26" s="445" t="s">
        <v>748</v>
      </c>
      <c r="C26" s="451">
        <f>C7+C12-C15</f>
        <v>5237</v>
      </c>
    </row>
    <row r="27" spans="1:3" ht="12.75">
      <c r="A27" s="61" t="s">
        <v>493</v>
      </c>
      <c r="B27" s="88" t="s">
        <v>742</v>
      </c>
      <c r="C27" s="100">
        <f>C26</f>
        <v>5237</v>
      </c>
    </row>
    <row r="28" spans="1:3" ht="12.75">
      <c r="A28" s="63" t="s">
        <v>494</v>
      </c>
      <c r="B28" s="85" t="s">
        <v>743</v>
      </c>
      <c r="C28" s="123">
        <v>0</v>
      </c>
    </row>
    <row r="29" spans="1:3" ht="13.5" thickBot="1">
      <c r="A29" s="32" t="s">
        <v>496</v>
      </c>
      <c r="B29" s="89" t="s">
        <v>744</v>
      </c>
      <c r="C29" s="124">
        <v>0</v>
      </c>
    </row>
    <row r="30" ht="33.75" customHeight="1"/>
    <row r="31" spans="2:3" ht="12.75">
      <c r="B31" s="802" t="s">
        <v>238</v>
      </c>
      <c r="C31" s="802"/>
    </row>
  </sheetData>
  <mergeCells count="3">
    <mergeCell ref="C1:C2"/>
    <mergeCell ref="A3:C3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selection activeCell="E13" sqref="E13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ht="40.5" customHeight="1">
      <c r="C1" s="839" t="s">
        <v>924</v>
      </c>
    </row>
    <row r="2" ht="12.75">
      <c r="C2" s="839"/>
    </row>
    <row r="3" ht="12.75">
      <c r="C3" s="839"/>
    </row>
    <row r="4" spans="1:3" ht="33.75" customHeight="1">
      <c r="A4" s="837" t="s">
        <v>842</v>
      </c>
      <c r="B4" s="837"/>
      <c r="C4" s="837"/>
    </row>
    <row r="5" spans="1:2" ht="14.25" customHeight="1">
      <c r="A5" s="82"/>
      <c r="B5" s="82"/>
    </row>
    <row r="6" ht="13.5" thickBot="1">
      <c r="C6" s="102" t="s">
        <v>843</v>
      </c>
    </row>
    <row r="7" spans="1:3" ht="23.25" customHeight="1" thickBot="1">
      <c r="A7" s="441" t="s">
        <v>482</v>
      </c>
      <c r="B7" s="442" t="s">
        <v>740</v>
      </c>
      <c r="C7" s="443" t="s">
        <v>503</v>
      </c>
    </row>
    <row r="8" spans="1:3" ht="16.5" customHeight="1">
      <c r="A8" s="214" t="s">
        <v>485</v>
      </c>
      <c r="B8" s="36" t="s">
        <v>741</v>
      </c>
      <c r="C8" s="36">
        <f>C9+C10-C11</f>
        <v>80885</v>
      </c>
    </row>
    <row r="9" spans="1:3" ht="15.75" customHeight="1">
      <c r="A9" s="61" t="s">
        <v>493</v>
      </c>
      <c r="B9" s="88" t="s">
        <v>742</v>
      </c>
      <c r="C9" s="29">
        <v>79885</v>
      </c>
    </row>
    <row r="10" spans="1:3" ht="18.75" customHeight="1">
      <c r="A10" s="63" t="s">
        <v>494</v>
      </c>
      <c r="B10" s="85" t="s">
        <v>743</v>
      </c>
      <c r="C10" s="6">
        <v>2000</v>
      </c>
    </row>
    <row r="11" spans="1:3" ht="17.25" customHeight="1">
      <c r="A11" s="63" t="s">
        <v>496</v>
      </c>
      <c r="B11" s="85" t="s">
        <v>744</v>
      </c>
      <c r="C11" s="6">
        <v>1000</v>
      </c>
    </row>
    <row r="12" spans="1:3" ht="16.5" customHeight="1" thickBot="1">
      <c r="A12" s="66" t="s">
        <v>498</v>
      </c>
      <c r="B12" s="86" t="s">
        <v>745</v>
      </c>
      <c r="C12" s="49">
        <v>0</v>
      </c>
    </row>
    <row r="13" spans="1:3" ht="20.25" customHeight="1" thickBot="1">
      <c r="A13" s="444" t="s">
        <v>487</v>
      </c>
      <c r="B13" s="445" t="s">
        <v>746</v>
      </c>
      <c r="C13" s="446">
        <f>C14+C15</f>
        <v>150000</v>
      </c>
    </row>
    <row r="14" spans="1:3" ht="16.5" customHeight="1">
      <c r="A14" s="61" t="s">
        <v>493</v>
      </c>
      <c r="B14" s="62" t="s">
        <v>766</v>
      </c>
      <c r="C14" s="29">
        <v>150000</v>
      </c>
    </row>
    <row r="15" spans="1:3" ht="16.5" customHeight="1" thickBot="1">
      <c r="A15" s="63">
        <v>2</v>
      </c>
      <c r="B15" s="65" t="s">
        <v>767</v>
      </c>
      <c r="C15" s="6"/>
    </row>
    <row r="16" spans="1:3" ht="18" customHeight="1" thickBot="1">
      <c r="A16" s="444" t="s">
        <v>491</v>
      </c>
      <c r="B16" s="445" t="s">
        <v>413</v>
      </c>
      <c r="C16" s="446">
        <f>C17+C29</f>
        <v>220885</v>
      </c>
    </row>
    <row r="17" spans="1:3" ht="17.25" customHeight="1">
      <c r="A17" s="87" t="s">
        <v>493</v>
      </c>
      <c r="B17" s="68" t="s">
        <v>747</v>
      </c>
      <c r="C17" s="36">
        <f>C18+C21+C22+C23+C24+C25+C26+C27+C28</f>
        <v>200885</v>
      </c>
    </row>
    <row r="18" spans="1:3" ht="17.25" customHeight="1">
      <c r="A18" s="63"/>
      <c r="B18" s="65" t="s">
        <v>844</v>
      </c>
      <c r="C18" s="6">
        <f>C19+C20</f>
        <v>30000</v>
      </c>
    </row>
    <row r="19" spans="1:3" ht="17.25" customHeight="1">
      <c r="A19" s="63"/>
      <c r="B19" s="85" t="s">
        <v>702</v>
      </c>
      <c r="C19" s="6">
        <v>15000</v>
      </c>
    </row>
    <row r="20" spans="1:3" ht="17.25" customHeight="1">
      <c r="A20" s="63"/>
      <c r="B20" s="85" t="s">
        <v>703</v>
      </c>
      <c r="C20" s="6">
        <v>15000</v>
      </c>
    </row>
    <row r="21" spans="1:3" ht="17.25" customHeight="1">
      <c r="A21" s="63"/>
      <c r="B21" s="65" t="s">
        <v>845</v>
      </c>
      <c r="C21" s="6">
        <v>45000</v>
      </c>
    </row>
    <row r="22" spans="1:3" ht="17.25" customHeight="1">
      <c r="A22" s="63"/>
      <c r="B22" s="65" t="s">
        <v>246</v>
      </c>
      <c r="C22" s="6">
        <v>10000</v>
      </c>
    </row>
    <row r="23" spans="1:3" ht="16.5" customHeight="1">
      <c r="A23" s="63"/>
      <c r="B23" s="65" t="s">
        <v>846</v>
      </c>
      <c r="C23" s="6">
        <v>10000</v>
      </c>
    </row>
    <row r="24" spans="1:3" ht="19.5" customHeight="1">
      <c r="A24" s="63"/>
      <c r="B24" s="64" t="s">
        <v>847</v>
      </c>
      <c r="C24" s="6">
        <v>64885</v>
      </c>
    </row>
    <row r="25" spans="1:3" ht="19.5" customHeight="1">
      <c r="A25" s="63"/>
      <c r="B25" s="64" t="s">
        <v>242</v>
      </c>
      <c r="C25" s="6">
        <v>1000</v>
      </c>
    </row>
    <row r="26" spans="1:3" ht="18" customHeight="1">
      <c r="A26" s="66"/>
      <c r="B26" s="344" t="s">
        <v>243</v>
      </c>
      <c r="C26" s="6">
        <v>5000</v>
      </c>
    </row>
    <row r="27" spans="1:3" ht="18" customHeight="1">
      <c r="A27" s="66"/>
      <c r="B27" s="344" t="s">
        <v>244</v>
      </c>
      <c r="C27" s="6">
        <v>15000</v>
      </c>
    </row>
    <row r="28" spans="1:3" ht="18" customHeight="1">
      <c r="A28" s="66"/>
      <c r="B28" s="344" t="s">
        <v>245</v>
      </c>
      <c r="C28" s="6">
        <v>20000</v>
      </c>
    </row>
    <row r="29" spans="1:3" ht="15.75" customHeight="1">
      <c r="A29" s="109" t="s">
        <v>494</v>
      </c>
      <c r="B29" s="110" t="s">
        <v>848</v>
      </c>
      <c r="C29" s="5">
        <f>C30</f>
        <v>20000</v>
      </c>
    </row>
    <row r="30" spans="1:3" ht="25.5">
      <c r="A30" s="66"/>
      <c r="B30" s="111" t="s">
        <v>849</v>
      </c>
      <c r="C30" s="49">
        <v>20000</v>
      </c>
    </row>
    <row r="31" spans="1:3" ht="16.5" customHeight="1">
      <c r="A31" s="447" t="s">
        <v>519</v>
      </c>
      <c r="B31" s="199" t="s">
        <v>748</v>
      </c>
      <c r="C31" s="199">
        <f>C32+C33-C34</f>
        <v>11000</v>
      </c>
    </row>
    <row r="32" spans="1:3" ht="15.75" customHeight="1">
      <c r="A32" s="61" t="s">
        <v>493</v>
      </c>
      <c r="B32" s="88" t="s">
        <v>742</v>
      </c>
      <c r="C32" s="112">
        <v>14000</v>
      </c>
    </row>
    <row r="33" spans="1:3" ht="15" customHeight="1">
      <c r="A33" s="63" t="s">
        <v>494</v>
      </c>
      <c r="B33" s="85" t="s">
        <v>743</v>
      </c>
      <c r="C33" s="113">
        <v>4000</v>
      </c>
    </row>
    <row r="34" spans="1:3" ht="15" customHeight="1" thickBot="1">
      <c r="A34" s="32" t="s">
        <v>496</v>
      </c>
      <c r="B34" s="89" t="s">
        <v>744</v>
      </c>
      <c r="C34" s="114">
        <v>7000</v>
      </c>
    </row>
    <row r="37" spans="2:3" ht="12.75">
      <c r="B37" s="802" t="s">
        <v>247</v>
      </c>
      <c r="C37" s="802"/>
    </row>
    <row r="42" spans="1:3" ht="12.75">
      <c r="A42" s="30"/>
      <c r="B42" s="30"/>
      <c r="C42" s="840"/>
    </row>
    <row r="43" spans="1:3" ht="12" customHeight="1">
      <c r="A43" s="30"/>
      <c r="B43" s="30"/>
      <c r="C43" s="840"/>
    </row>
    <row r="44" spans="1:3" ht="14.25" customHeight="1">
      <c r="A44" s="838"/>
      <c r="B44" s="838"/>
      <c r="C44" s="30"/>
    </row>
    <row r="45" spans="1:3" ht="15.75">
      <c r="A45" s="116"/>
      <c r="B45" s="116"/>
      <c r="C45" s="115"/>
    </row>
    <row r="46" spans="1:3" ht="12.75">
      <c r="A46" s="30"/>
      <c r="B46" s="30"/>
      <c r="C46" s="117"/>
    </row>
    <row r="47" spans="1:3" ht="12.75">
      <c r="A47" s="77"/>
      <c r="B47" s="77"/>
      <c r="C47" s="108"/>
    </row>
    <row r="48" spans="1:3" ht="12.75">
      <c r="A48" s="77"/>
      <c r="B48" s="74"/>
      <c r="C48" s="74"/>
    </row>
    <row r="49" spans="1:3" ht="12.75">
      <c r="A49" s="91"/>
      <c r="B49" s="118"/>
      <c r="C49" s="30"/>
    </row>
    <row r="50" spans="1:3" ht="12.75">
      <c r="A50" s="91"/>
      <c r="B50" s="118"/>
      <c r="C50" s="30"/>
    </row>
    <row r="51" spans="1:3" ht="12.75">
      <c r="A51" s="91"/>
      <c r="B51" s="118"/>
      <c r="C51" s="30"/>
    </row>
    <row r="52" spans="1:3" ht="12.75">
      <c r="A52" s="91"/>
      <c r="B52" s="118"/>
      <c r="C52" s="30"/>
    </row>
    <row r="53" spans="1:3" ht="12.75">
      <c r="A53" s="77"/>
      <c r="B53" s="74"/>
      <c r="C53" s="74"/>
    </row>
    <row r="54" spans="1:3" ht="12.75">
      <c r="A54" s="91"/>
      <c r="B54" s="30"/>
      <c r="C54" s="30"/>
    </row>
    <row r="55" spans="1:3" ht="12.75">
      <c r="A55" s="77"/>
      <c r="B55" s="74"/>
      <c r="C55" s="74"/>
    </row>
    <row r="56" spans="1:3" ht="12.75">
      <c r="A56" s="77"/>
      <c r="B56" s="74"/>
      <c r="C56" s="74"/>
    </row>
    <row r="57" spans="1:3" ht="12.75">
      <c r="A57" s="91"/>
      <c r="B57" s="117"/>
      <c r="C57" s="30"/>
    </row>
    <row r="58" spans="1:3" ht="12.75">
      <c r="A58" s="91"/>
      <c r="B58" s="117"/>
      <c r="C58" s="30"/>
    </row>
    <row r="59" spans="1:3" ht="12.75">
      <c r="A59" s="119"/>
      <c r="B59" s="74"/>
      <c r="C59" s="74"/>
    </row>
    <row r="60" spans="1:3" ht="12.75">
      <c r="A60" s="91"/>
      <c r="B60" s="117"/>
      <c r="C60" s="30"/>
    </row>
    <row r="61" spans="1:3" ht="12.75">
      <c r="A61" s="77"/>
      <c r="B61" s="74"/>
      <c r="C61" s="74"/>
    </row>
    <row r="62" spans="1:3" ht="12.75">
      <c r="A62" s="91"/>
      <c r="B62" s="118"/>
      <c r="C62" s="30"/>
    </row>
    <row r="63" spans="1:3" ht="12.75">
      <c r="A63" s="91"/>
      <c r="B63" s="118"/>
      <c r="C63" s="75"/>
    </row>
    <row r="64" spans="1:3" ht="12.75">
      <c r="A64" s="91"/>
      <c r="B64" s="118"/>
      <c r="C64" s="75"/>
    </row>
    <row r="65" spans="1:3" ht="12.75">
      <c r="A65" s="30"/>
      <c r="B65" s="30"/>
      <c r="C65" s="30"/>
    </row>
    <row r="66" spans="1:3" ht="12.75">
      <c r="A66" s="30"/>
      <c r="B66" s="30"/>
      <c r="C66" s="30"/>
    </row>
    <row r="67" spans="1:3" ht="12.75">
      <c r="A67" s="30"/>
      <c r="B67" s="30"/>
      <c r="C67" s="30"/>
    </row>
    <row r="68" spans="1:3" ht="12.75">
      <c r="A68" s="30"/>
      <c r="B68" s="30"/>
      <c r="C68" s="30"/>
    </row>
    <row r="69" spans="1:3" ht="12.75">
      <c r="A69" s="30"/>
      <c r="B69" s="30"/>
      <c r="C69" s="30"/>
    </row>
    <row r="70" spans="1:3" ht="12.75">
      <c r="A70" s="30"/>
      <c r="B70" s="30"/>
      <c r="C70" s="30"/>
    </row>
    <row r="71" spans="1:3" ht="12.75">
      <c r="A71" s="30"/>
      <c r="B71" s="30"/>
      <c r="C71" s="30"/>
    </row>
    <row r="72" spans="1:3" ht="12.75">
      <c r="A72" s="30"/>
      <c r="B72" s="30"/>
      <c r="C72" s="30"/>
    </row>
    <row r="73" spans="1:3" ht="12.75">
      <c r="A73" s="30"/>
      <c r="B73" s="30"/>
      <c r="C73" s="30"/>
    </row>
    <row r="74" spans="1:3" ht="12.75">
      <c r="A74" s="30"/>
      <c r="B74" s="30"/>
      <c r="C74" s="30"/>
    </row>
    <row r="75" spans="1:3" ht="12.75">
      <c r="A75" s="30"/>
      <c r="B75" s="30"/>
      <c r="C75" s="30"/>
    </row>
    <row r="76" spans="1:3" ht="12.75">
      <c r="A76" s="30"/>
      <c r="B76" s="30"/>
      <c r="C76" s="30"/>
    </row>
    <row r="77" spans="1:3" ht="12.75">
      <c r="A77" s="30"/>
      <c r="B77" s="30"/>
      <c r="C77" s="30"/>
    </row>
    <row r="78" spans="1:3" ht="12.75">
      <c r="A78" s="30"/>
      <c r="B78" s="30"/>
      <c r="C78" s="30"/>
    </row>
    <row r="79" spans="1:3" ht="12.75">
      <c r="A79" s="30"/>
      <c r="B79" s="30"/>
      <c r="C79" s="30"/>
    </row>
    <row r="80" spans="1:3" ht="12.75">
      <c r="A80" s="30"/>
      <c r="B80" s="30"/>
      <c r="C80" s="30"/>
    </row>
    <row r="81" spans="1:3" ht="12.75">
      <c r="A81" s="30"/>
      <c r="B81" s="30"/>
      <c r="C81" s="30"/>
    </row>
  </sheetData>
  <mergeCells count="5">
    <mergeCell ref="A44:B44"/>
    <mergeCell ref="C1:C3"/>
    <mergeCell ref="C42:C43"/>
    <mergeCell ref="A4:C4"/>
    <mergeCell ref="B37:C37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5">
      <selection activeCell="A5" sqref="A5:M5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12.00390625" style="0" customWidth="1"/>
    <col min="4" max="4" width="9.75390625" style="0" customWidth="1"/>
    <col min="5" max="5" width="9.25390625" style="0" customWidth="1"/>
    <col min="6" max="6" width="8.875" style="0" customWidth="1"/>
    <col min="7" max="7" width="9.00390625" style="0" customWidth="1"/>
    <col min="8" max="8" width="9.625" style="0" customWidth="1"/>
    <col min="9" max="9" width="8.625" style="0" customWidth="1"/>
    <col min="10" max="10" width="10.00390625" style="0" customWidth="1"/>
    <col min="11" max="11" width="9.625" style="0" customWidth="1"/>
    <col min="12" max="12" width="9.25390625" style="0" customWidth="1"/>
    <col min="13" max="13" width="9.375" style="0" customWidth="1"/>
  </cols>
  <sheetData>
    <row r="1" spans="9:13" ht="12.75">
      <c r="I1" s="841"/>
      <c r="J1" s="841"/>
      <c r="K1" s="841"/>
      <c r="L1" s="841"/>
      <c r="M1" s="841"/>
    </row>
    <row r="2" spans="5:13" ht="12.75">
      <c r="E2" s="608"/>
      <c r="F2" s="847" t="s">
        <v>925</v>
      </c>
      <c r="G2" s="847"/>
      <c r="H2" s="847"/>
      <c r="I2" s="847"/>
      <c r="J2" s="847"/>
      <c r="K2" s="847"/>
      <c r="L2" s="847"/>
      <c r="M2" s="609"/>
    </row>
    <row r="3" spans="9:13" ht="12.75">
      <c r="I3" s="604"/>
      <c r="J3" s="604"/>
      <c r="K3" s="604"/>
      <c r="L3" s="604"/>
      <c r="M3" s="604"/>
    </row>
    <row r="4" spans="8:13" ht="12.75">
      <c r="H4" s="31"/>
      <c r="I4" s="603"/>
      <c r="J4" s="603"/>
      <c r="K4" s="603"/>
      <c r="L4" s="603"/>
      <c r="M4" s="603"/>
    </row>
    <row r="5" spans="1:13" ht="18">
      <c r="A5" s="845" t="s">
        <v>777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</row>
    <row r="6" spans="1:13" ht="18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</row>
    <row r="7" spans="1:14" ht="13.5" thickBot="1">
      <c r="A7" s="126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88" t="s">
        <v>581</v>
      </c>
      <c r="N7" s="126"/>
    </row>
    <row r="8" spans="1:14" ht="21" customHeight="1" thickBot="1">
      <c r="A8" s="424"/>
      <c r="B8" s="425"/>
      <c r="C8" s="425" t="s">
        <v>778</v>
      </c>
      <c r="D8" s="842" t="s">
        <v>779</v>
      </c>
      <c r="E8" s="843"/>
      <c r="F8" s="843"/>
      <c r="G8" s="843"/>
      <c r="H8" s="843"/>
      <c r="I8" s="843"/>
      <c r="J8" s="843"/>
      <c r="K8" s="843"/>
      <c r="L8" s="843"/>
      <c r="M8" s="844"/>
      <c r="N8" s="126"/>
    </row>
    <row r="9" spans="1:14" ht="15.75" customHeight="1">
      <c r="A9" s="426"/>
      <c r="B9" s="427" t="s">
        <v>780</v>
      </c>
      <c r="C9" s="427" t="s">
        <v>781</v>
      </c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126"/>
    </row>
    <row r="10" spans="1:14" ht="15.75" customHeight="1">
      <c r="A10" s="427" t="s">
        <v>435</v>
      </c>
      <c r="B10" s="427" t="s">
        <v>782</v>
      </c>
      <c r="C10" s="427" t="s">
        <v>783</v>
      </c>
      <c r="D10" s="427">
        <v>2007</v>
      </c>
      <c r="E10" s="427">
        <v>2008</v>
      </c>
      <c r="F10" s="427">
        <v>2009</v>
      </c>
      <c r="G10" s="427">
        <v>2010</v>
      </c>
      <c r="H10" s="427">
        <v>2011</v>
      </c>
      <c r="I10" s="427">
        <v>2012</v>
      </c>
      <c r="J10" s="427">
        <v>2013</v>
      </c>
      <c r="K10" s="427">
        <v>2014</v>
      </c>
      <c r="L10" s="427">
        <v>2015</v>
      </c>
      <c r="M10" s="427">
        <v>2016</v>
      </c>
      <c r="N10" s="126"/>
    </row>
    <row r="11" spans="1:14" ht="15.75" customHeight="1">
      <c r="A11" s="426"/>
      <c r="B11" s="428"/>
      <c r="C11" s="427" t="s">
        <v>784</v>
      </c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126"/>
    </row>
    <row r="12" spans="1:14" ht="6.75" customHeight="1" thickBot="1">
      <c r="A12" s="426"/>
      <c r="B12" s="428"/>
      <c r="C12" s="427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126"/>
    </row>
    <row r="13" spans="1:14" ht="7.5" customHeight="1" thickBot="1">
      <c r="A13" s="393">
        <v>1</v>
      </c>
      <c r="B13" s="393">
        <v>2</v>
      </c>
      <c r="C13" s="393">
        <v>3</v>
      </c>
      <c r="D13" s="393">
        <v>4</v>
      </c>
      <c r="E13" s="393">
        <v>5</v>
      </c>
      <c r="F13" s="393">
        <v>6</v>
      </c>
      <c r="G13" s="393">
        <v>7</v>
      </c>
      <c r="H13" s="393">
        <v>8</v>
      </c>
      <c r="I13" s="393">
        <v>9</v>
      </c>
      <c r="J13" s="393">
        <v>10</v>
      </c>
      <c r="K13" s="393">
        <v>11</v>
      </c>
      <c r="L13" s="393">
        <v>12</v>
      </c>
      <c r="M13" s="393">
        <v>13</v>
      </c>
      <c r="N13" s="126"/>
    </row>
    <row r="14" spans="1:14" ht="19.5" customHeight="1">
      <c r="A14" s="394" t="s">
        <v>493</v>
      </c>
      <c r="B14" s="395" t="s">
        <v>785</v>
      </c>
      <c r="C14" s="396">
        <v>0</v>
      </c>
      <c r="D14" s="396">
        <v>0</v>
      </c>
      <c r="E14" s="396">
        <v>0</v>
      </c>
      <c r="F14" s="396">
        <v>0</v>
      </c>
      <c r="G14" s="396">
        <v>0</v>
      </c>
      <c r="H14" s="396">
        <v>0</v>
      </c>
      <c r="I14" s="396">
        <v>0</v>
      </c>
      <c r="J14" s="396">
        <v>0</v>
      </c>
      <c r="K14" s="396">
        <v>0</v>
      </c>
      <c r="L14" s="396">
        <v>0</v>
      </c>
      <c r="M14" s="396">
        <v>0</v>
      </c>
      <c r="N14" s="126"/>
    </row>
    <row r="15" spans="1:14" ht="19.5" customHeight="1">
      <c r="A15" s="397" t="s">
        <v>494</v>
      </c>
      <c r="B15" s="398" t="s">
        <v>786</v>
      </c>
      <c r="C15" s="420">
        <v>10490658</v>
      </c>
      <c r="D15" s="420">
        <v>10846970</v>
      </c>
      <c r="E15" s="420">
        <v>9504710</v>
      </c>
      <c r="F15" s="420">
        <v>7731738</v>
      </c>
      <c r="G15" s="420">
        <v>6048766</v>
      </c>
      <c r="H15" s="420">
        <v>4345794</v>
      </c>
      <c r="I15" s="420">
        <v>2642823</v>
      </c>
      <c r="J15" s="420">
        <v>1316419</v>
      </c>
      <c r="K15" s="420">
        <v>620000</v>
      </c>
      <c r="L15" s="420">
        <v>0</v>
      </c>
      <c r="M15" s="420">
        <f>'Z14a'!M30</f>
        <v>0</v>
      </c>
      <c r="N15" s="126"/>
    </row>
    <row r="16" spans="1:14" ht="19.5" customHeight="1">
      <c r="A16" s="397" t="s">
        <v>496</v>
      </c>
      <c r="B16" s="398" t="s">
        <v>787</v>
      </c>
      <c r="C16" s="398">
        <v>72000</v>
      </c>
      <c r="D16" s="398">
        <v>36000</v>
      </c>
      <c r="E16" s="398">
        <v>0</v>
      </c>
      <c r="F16" s="398">
        <v>0</v>
      </c>
      <c r="G16" s="398">
        <v>0</v>
      </c>
      <c r="H16" s="398">
        <v>0</v>
      </c>
      <c r="I16" s="398">
        <v>0</v>
      </c>
      <c r="J16" s="398">
        <v>0</v>
      </c>
      <c r="K16" s="398">
        <v>0</v>
      </c>
      <c r="L16" s="398">
        <v>0</v>
      </c>
      <c r="M16" s="398">
        <v>0</v>
      </c>
      <c r="N16" s="126"/>
    </row>
    <row r="17" spans="1:14" ht="19.5" customHeight="1">
      <c r="A17" s="397" t="s">
        <v>498</v>
      </c>
      <c r="B17" s="398" t="s">
        <v>788</v>
      </c>
      <c r="C17" s="398">
        <v>0</v>
      </c>
      <c r="D17" s="398">
        <v>0</v>
      </c>
      <c r="E17" s="398">
        <v>0</v>
      </c>
      <c r="F17" s="398">
        <v>0</v>
      </c>
      <c r="G17" s="398">
        <v>0</v>
      </c>
      <c r="H17" s="398">
        <v>0</v>
      </c>
      <c r="I17" s="398">
        <v>0</v>
      </c>
      <c r="J17" s="398">
        <v>0</v>
      </c>
      <c r="K17" s="398">
        <v>0</v>
      </c>
      <c r="L17" s="398">
        <v>0</v>
      </c>
      <c r="M17" s="398">
        <v>0</v>
      </c>
      <c r="N17" s="126"/>
    </row>
    <row r="18" spans="1:14" ht="19.5" customHeight="1">
      <c r="A18" s="394" t="s">
        <v>500</v>
      </c>
      <c r="B18" s="398" t="s">
        <v>789</v>
      </c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126"/>
    </row>
    <row r="19" spans="1:14" ht="19.5" customHeight="1">
      <c r="A19" s="394"/>
      <c r="B19" s="398" t="s">
        <v>790</v>
      </c>
      <c r="C19" s="398">
        <v>0</v>
      </c>
      <c r="D19" s="398">
        <v>0</v>
      </c>
      <c r="E19" s="398">
        <v>0</v>
      </c>
      <c r="F19" s="398">
        <v>0</v>
      </c>
      <c r="G19" s="398">
        <v>0</v>
      </c>
      <c r="H19" s="398">
        <v>0</v>
      </c>
      <c r="I19" s="398">
        <v>0</v>
      </c>
      <c r="J19" s="398">
        <v>0</v>
      </c>
      <c r="K19" s="398">
        <v>0</v>
      </c>
      <c r="L19" s="398">
        <v>0</v>
      </c>
      <c r="M19" s="398">
        <v>0</v>
      </c>
      <c r="N19" s="126"/>
    </row>
    <row r="20" spans="1:14" ht="19.5" customHeight="1">
      <c r="A20" s="394"/>
      <c r="B20" s="398" t="s">
        <v>791</v>
      </c>
      <c r="C20" s="398">
        <f>C21+C22+C23+C24</f>
        <v>0</v>
      </c>
      <c r="D20" s="398">
        <f aca="true" t="shared" si="0" ref="D20:M20">D21+D22+D23+D24</f>
        <v>0</v>
      </c>
      <c r="E20" s="398">
        <f t="shared" si="0"/>
        <v>0</v>
      </c>
      <c r="F20" s="398">
        <f t="shared" si="0"/>
        <v>0</v>
      </c>
      <c r="G20" s="398">
        <f t="shared" si="0"/>
        <v>0</v>
      </c>
      <c r="H20" s="398">
        <f t="shared" si="0"/>
        <v>0</v>
      </c>
      <c r="I20" s="398">
        <f t="shared" si="0"/>
        <v>0</v>
      </c>
      <c r="J20" s="398">
        <f t="shared" si="0"/>
        <v>0</v>
      </c>
      <c r="K20" s="398">
        <f t="shared" si="0"/>
        <v>0</v>
      </c>
      <c r="L20" s="398">
        <f t="shared" si="0"/>
        <v>0</v>
      </c>
      <c r="M20" s="398">
        <f t="shared" si="0"/>
        <v>0</v>
      </c>
      <c r="N20" s="126"/>
    </row>
    <row r="21" spans="1:14" ht="19.5" customHeight="1">
      <c r="A21" s="394"/>
      <c r="B21" s="399" t="s">
        <v>527</v>
      </c>
      <c r="C21" s="398">
        <v>0</v>
      </c>
      <c r="D21" s="398">
        <v>0</v>
      </c>
      <c r="E21" s="398">
        <v>0</v>
      </c>
      <c r="F21" s="398">
        <v>0</v>
      </c>
      <c r="G21" s="398">
        <v>0</v>
      </c>
      <c r="H21" s="398">
        <v>0</v>
      </c>
      <c r="I21" s="398">
        <v>0</v>
      </c>
      <c r="J21" s="398">
        <v>0</v>
      </c>
      <c r="K21" s="398">
        <v>0</v>
      </c>
      <c r="L21" s="398">
        <v>0</v>
      </c>
      <c r="M21" s="398">
        <v>0</v>
      </c>
      <c r="N21" s="126"/>
    </row>
    <row r="22" spans="1:14" ht="19.5" customHeight="1">
      <c r="A22" s="394"/>
      <c r="B22" s="399" t="s">
        <v>528</v>
      </c>
      <c r="C22" s="398">
        <v>0</v>
      </c>
      <c r="D22" s="398">
        <v>0</v>
      </c>
      <c r="E22" s="398">
        <v>0</v>
      </c>
      <c r="F22" s="398">
        <v>0</v>
      </c>
      <c r="G22" s="398">
        <v>0</v>
      </c>
      <c r="H22" s="398">
        <v>0</v>
      </c>
      <c r="I22" s="398">
        <v>0</v>
      </c>
      <c r="J22" s="398">
        <v>0</v>
      </c>
      <c r="K22" s="398">
        <v>0</v>
      </c>
      <c r="L22" s="398">
        <v>0</v>
      </c>
      <c r="M22" s="398">
        <v>0</v>
      </c>
      <c r="N22" s="126"/>
    </row>
    <row r="23" spans="1:14" ht="23.25" customHeight="1">
      <c r="A23" s="394"/>
      <c r="B23" s="421" t="s">
        <v>792</v>
      </c>
      <c r="C23" s="398">
        <v>0</v>
      </c>
      <c r="D23" s="398">
        <v>0</v>
      </c>
      <c r="E23" s="398">
        <v>0</v>
      </c>
      <c r="F23" s="398">
        <v>0</v>
      </c>
      <c r="G23" s="398">
        <v>0</v>
      </c>
      <c r="H23" s="398">
        <v>0</v>
      </c>
      <c r="I23" s="398">
        <v>0</v>
      </c>
      <c r="J23" s="398">
        <v>0</v>
      </c>
      <c r="K23" s="398">
        <v>0</v>
      </c>
      <c r="L23" s="398">
        <v>0</v>
      </c>
      <c r="M23" s="398">
        <v>0</v>
      </c>
      <c r="N23" s="126"/>
    </row>
    <row r="24" spans="1:14" ht="19.5" customHeight="1">
      <c r="A24" s="400"/>
      <c r="B24" s="399" t="s">
        <v>793</v>
      </c>
      <c r="C24" s="398">
        <v>0</v>
      </c>
      <c r="D24" s="398">
        <v>0</v>
      </c>
      <c r="E24" s="398">
        <v>0</v>
      </c>
      <c r="F24" s="398">
        <v>0</v>
      </c>
      <c r="G24" s="398">
        <v>0</v>
      </c>
      <c r="H24" s="398">
        <v>0</v>
      </c>
      <c r="I24" s="398">
        <v>0</v>
      </c>
      <c r="J24" s="398">
        <v>0</v>
      </c>
      <c r="K24" s="398">
        <v>0</v>
      </c>
      <c r="L24" s="398">
        <v>0</v>
      </c>
      <c r="M24" s="398">
        <v>0</v>
      </c>
      <c r="N24" s="126"/>
    </row>
    <row r="25" spans="1:14" ht="19.5" customHeight="1">
      <c r="A25" s="626" t="s">
        <v>529</v>
      </c>
      <c r="B25" s="627" t="s">
        <v>531</v>
      </c>
      <c r="C25" s="628">
        <f>'Z14a'!C10</f>
        <v>35145375</v>
      </c>
      <c r="D25" s="628">
        <f>'Z14a'!D10</f>
        <v>34230109</v>
      </c>
      <c r="E25" s="628">
        <f>'Z14a'!E10</f>
        <v>30145000</v>
      </c>
      <c r="F25" s="628">
        <f>'Z14a'!F10</f>
        <v>29600000</v>
      </c>
      <c r="G25" s="628">
        <f>'Z14a'!G10</f>
        <v>29200000</v>
      </c>
      <c r="H25" s="628">
        <f>'Z14a'!H10</f>
        <v>29400000</v>
      </c>
      <c r="I25" s="628">
        <f>'Z14a'!I10</f>
        <v>29500000</v>
      </c>
      <c r="J25" s="628">
        <f>'Z14a'!J10</f>
        <v>29600000</v>
      </c>
      <c r="K25" s="628">
        <f>'Z14a'!K10</f>
        <v>29700000</v>
      </c>
      <c r="L25" s="628">
        <f>'Z14a'!L10</f>
        <v>30000000</v>
      </c>
      <c r="M25" s="628">
        <f>'Z14a'!M10</f>
        <v>30100000</v>
      </c>
      <c r="N25" s="126"/>
    </row>
    <row r="26" spans="1:14" ht="19.5" customHeight="1">
      <c r="A26" s="629" t="s">
        <v>530</v>
      </c>
      <c r="B26" s="630" t="s">
        <v>794</v>
      </c>
      <c r="C26" s="631">
        <f>'Z14a'!C30</f>
        <v>10562658</v>
      </c>
      <c r="D26" s="631">
        <f>'Z14a'!D30</f>
        <v>10882970</v>
      </c>
      <c r="E26" s="631">
        <f>'Z14a'!E30</f>
        <v>9784587</v>
      </c>
      <c r="F26" s="631">
        <f>'Z14a'!F30</f>
        <v>7923723</v>
      </c>
      <c r="G26" s="631">
        <f>'Z14a'!G30</f>
        <v>6263017</v>
      </c>
      <c r="H26" s="631">
        <f>'Z14a'!H30</f>
        <v>4626762</v>
      </c>
      <c r="I26" s="631">
        <f>'Z14a'!I30</f>
        <v>3742421</v>
      </c>
      <c r="J26" s="631">
        <f>'Z14a'!J30</f>
        <v>1421817</v>
      </c>
      <c r="K26" s="631">
        <f>'Z14a'!K30</f>
        <v>722446</v>
      </c>
      <c r="L26" s="631">
        <f>'Z14a'!L30</f>
        <v>36982</v>
      </c>
      <c r="M26" s="631">
        <f>'Z14a'!M30</f>
        <v>0</v>
      </c>
      <c r="N26" s="126"/>
    </row>
    <row r="27" spans="1:14" ht="19.5" customHeight="1" thickBot="1">
      <c r="A27" s="401" t="s">
        <v>517</v>
      </c>
      <c r="B27" s="422" t="s">
        <v>795</v>
      </c>
      <c r="C27" s="423">
        <f>C26/C25</f>
        <v>0.3005419062963477</v>
      </c>
      <c r="D27" s="423">
        <f aca="true" t="shared" si="1" ref="D27:M27">D26/D25</f>
        <v>0.31793559290155926</v>
      </c>
      <c r="E27" s="423">
        <f t="shared" si="1"/>
        <v>0.32458407696135344</v>
      </c>
      <c r="F27" s="423">
        <f t="shared" si="1"/>
        <v>0.2676933445945946</v>
      </c>
      <c r="G27" s="423">
        <f t="shared" si="1"/>
        <v>0.21448688356164383</v>
      </c>
      <c r="H27" s="423">
        <f t="shared" si="1"/>
        <v>0.15737285714285715</v>
      </c>
      <c r="I27" s="423">
        <f t="shared" si="1"/>
        <v>0.1268617288135593</v>
      </c>
      <c r="J27" s="423">
        <f t="shared" si="1"/>
        <v>0.048034358108108105</v>
      </c>
      <c r="K27" s="423">
        <f t="shared" si="1"/>
        <v>0.024324781144781146</v>
      </c>
      <c r="L27" s="423">
        <f t="shared" si="1"/>
        <v>0.0012327333333333333</v>
      </c>
      <c r="M27" s="423">
        <f t="shared" si="1"/>
        <v>0</v>
      </c>
      <c r="N27" s="126"/>
    </row>
    <row r="28" spans="1:14" ht="12.75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126"/>
    </row>
    <row r="29" spans="1:14" ht="12.75">
      <c r="A29" s="392"/>
      <c r="B29" s="392"/>
      <c r="C29" s="392"/>
      <c r="D29" s="392"/>
      <c r="E29" s="392"/>
      <c r="F29" s="392"/>
      <c r="G29" s="846" t="s">
        <v>899</v>
      </c>
      <c r="H29" s="846"/>
      <c r="I29" s="846"/>
      <c r="J29" s="846"/>
      <c r="K29" s="846"/>
      <c r="L29" s="846"/>
      <c r="M29" s="392"/>
      <c r="N29" s="126"/>
    </row>
    <row r="30" spans="1:14" ht="12.75">
      <c r="A30" s="392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126"/>
    </row>
    <row r="31" spans="1:14" ht="12.75">
      <c r="A31" s="392"/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126"/>
    </row>
    <row r="32" spans="1:14" ht="12.75">
      <c r="A32" s="392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126"/>
    </row>
    <row r="33" spans="1:14" ht="12.75">
      <c r="A33" s="392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126"/>
    </row>
    <row r="34" spans="1:14" ht="12.75">
      <c r="A34" s="392"/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126"/>
    </row>
    <row r="35" spans="1:14" ht="12.7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</row>
    <row r="36" spans="1:14" ht="12.7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ht="12.7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</row>
    <row r="38" spans="1:14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</sheetData>
  <mergeCells count="5">
    <mergeCell ref="I1:M1"/>
    <mergeCell ref="D8:M8"/>
    <mergeCell ref="A5:M5"/>
    <mergeCell ref="G29:L29"/>
    <mergeCell ref="F2:L2"/>
  </mergeCells>
  <printOptions horizontalCentered="1" verticalCentered="1"/>
  <pageMargins left="0.5905511811023623" right="0.5905511811023623" top="0.34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B32" sqref="B32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1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3" width="10.00390625" style="0" customWidth="1"/>
  </cols>
  <sheetData>
    <row r="1" spans="10:12" ht="12.75">
      <c r="J1" s="701" t="s">
        <v>926</v>
      </c>
      <c r="K1" s="701"/>
      <c r="L1" s="701"/>
    </row>
    <row r="2" spans="9:12" ht="9" customHeight="1">
      <c r="I2" s="672" t="s">
        <v>917</v>
      </c>
      <c r="J2" s="802"/>
      <c r="K2" s="802"/>
      <c r="L2" s="802"/>
    </row>
    <row r="3" spans="10:12" ht="9" customHeight="1">
      <c r="J3" s="701" t="s">
        <v>575</v>
      </c>
      <c r="K3" s="701"/>
      <c r="L3" s="701"/>
    </row>
    <row r="4" spans="1:12" ht="12.75">
      <c r="A4" s="849" t="s">
        <v>683</v>
      </c>
      <c r="B4" s="849"/>
      <c r="C4" s="849"/>
      <c r="D4" s="849"/>
      <c r="E4" s="849"/>
      <c r="F4" s="849"/>
      <c r="G4" s="849"/>
      <c r="H4" s="849"/>
      <c r="I4" s="849"/>
      <c r="J4" s="849"/>
      <c r="K4" s="849"/>
      <c r="L4" s="849"/>
    </row>
    <row r="5" ht="5.25" customHeight="1"/>
    <row r="6" ht="13.5" thickBot="1"/>
    <row r="7" spans="1:13" ht="20.25" customHeight="1" thickBot="1">
      <c r="A7" s="852" t="s">
        <v>435</v>
      </c>
      <c r="B7" s="854" t="s">
        <v>740</v>
      </c>
      <c r="C7" s="850" t="s">
        <v>796</v>
      </c>
      <c r="D7" s="850" t="s">
        <v>682</v>
      </c>
      <c r="E7" s="856" t="s">
        <v>684</v>
      </c>
      <c r="F7" s="857"/>
      <c r="G7" s="857"/>
      <c r="H7" s="857"/>
      <c r="I7" s="857"/>
      <c r="J7" s="857"/>
      <c r="K7" s="857"/>
      <c r="L7" s="857"/>
      <c r="M7" s="858"/>
    </row>
    <row r="8" spans="1:13" ht="35.25" customHeight="1" thickBot="1">
      <c r="A8" s="853"/>
      <c r="B8" s="855"/>
      <c r="C8" s="851"/>
      <c r="D8" s="851"/>
      <c r="E8" s="416">
        <v>2008</v>
      </c>
      <c r="F8" s="417">
        <v>2009</v>
      </c>
      <c r="G8" s="417">
        <v>2010</v>
      </c>
      <c r="H8" s="417">
        <v>2011</v>
      </c>
      <c r="I8" s="417">
        <v>2012</v>
      </c>
      <c r="J8" s="417">
        <v>2013</v>
      </c>
      <c r="K8" s="417">
        <v>2014</v>
      </c>
      <c r="L8" s="417">
        <v>2015</v>
      </c>
      <c r="M8" s="418">
        <v>2016</v>
      </c>
    </row>
    <row r="9" spans="1:13" ht="11.25" customHeight="1">
      <c r="A9" s="419">
        <v>1</v>
      </c>
      <c r="B9" s="414">
        <v>2</v>
      </c>
      <c r="C9" s="413">
        <v>3</v>
      </c>
      <c r="D9" s="413">
        <v>4</v>
      </c>
      <c r="E9" s="413">
        <v>5</v>
      </c>
      <c r="F9" s="414">
        <v>6</v>
      </c>
      <c r="G9" s="414">
        <v>7</v>
      </c>
      <c r="H9" s="414">
        <v>8</v>
      </c>
      <c r="I9" s="414">
        <v>9</v>
      </c>
      <c r="J9" s="414">
        <v>10</v>
      </c>
      <c r="K9" s="414">
        <v>11</v>
      </c>
      <c r="L9" s="414">
        <v>12</v>
      </c>
      <c r="M9" s="415">
        <v>13</v>
      </c>
    </row>
    <row r="10" spans="1:13" ht="12.75">
      <c r="A10" s="402" t="s">
        <v>485</v>
      </c>
      <c r="B10" s="403" t="s">
        <v>685</v>
      </c>
      <c r="C10" s="404">
        <f>C11+C15+C16</f>
        <v>35145375</v>
      </c>
      <c r="D10" s="404">
        <f aca="true" t="shared" si="0" ref="D10:M10">D11+D15+D16</f>
        <v>34230109</v>
      </c>
      <c r="E10" s="404">
        <f t="shared" si="0"/>
        <v>30145000</v>
      </c>
      <c r="F10" s="404">
        <f t="shared" si="0"/>
        <v>29600000</v>
      </c>
      <c r="G10" s="404">
        <f t="shared" si="0"/>
        <v>29200000</v>
      </c>
      <c r="H10" s="404">
        <f t="shared" si="0"/>
        <v>29400000</v>
      </c>
      <c r="I10" s="404">
        <f t="shared" si="0"/>
        <v>29500000</v>
      </c>
      <c r="J10" s="404">
        <f t="shared" si="0"/>
        <v>29600000</v>
      </c>
      <c r="K10" s="404">
        <f t="shared" si="0"/>
        <v>29700000</v>
      </c>
      <c r="L10" s="404">
        <f t="shared" si="0"/>
        <v>30000000</v>
      </c>
      <c r="M10" s="605">
        <f t="shared" si="0"/>
        <v>30100000</v>
      </c>
    </row>
    <row r="11" spans="1:13" ht="12.75">
      <c r="A11" s="113" t="s">
        <v>436</v>
      </c>
      <c r="B11" s="130" t="s">
        <v>437</v>
      </c>
      <c r="C11" s="389">
        <f>C12+C13+C14</f>
        <v>4896641</v>
      </c>
      <c r="D11" s="389">
        <f aca="true" t="shared" si="1" ref="D11:M11">D12+D13+D14</f>
        <v>5647270</v>
      </c>
      <c r="E11" s="389">
        <f t="shared" si="1"/>
        <v>4684000</v>
      </c>
      <c r="F11" s="389">
        <f t="shared" si="1"/>
        <v>4692000</v>
      </c>
      <c r="G11" s="389">
        <f t="shared" si="1"/>
        <v>4600000</v>
      </c>
      <c r="H11" s="389">
        <f t="shared" si="1"/>
        <v>4708000</v>
      </c>
      <c r="I11" s="389">
        <f t="shared" si="1"/>
        <v>4716000</v>
      </c>
      <c r="J11" s="389">
        <f t="shared" si="1"/>
        <v>4674000</v>
      </c>
      <c r="K11" s="389">
        <f t="shared" si="1"/>
        <v>4633000</v>
      </c>
      <c r="L11" s="389">
        <f t="shared" si="1"/>
        <v>4600000</v>
      </c>
      <c r="M11" s="390">
        <f t="shared" si="1"/>
        <v>4650000</v>
      </c>
    </row>
    <row r="12" spans="1:13" ht="12.75">
      <c r="A12" s="113" t="s">
        <v>493</v>
      </c>
      <c r="B12" s="130" t="s">
        <v>797</v>
      </c>
      <c r="C12" s="389">
        <v>1944865</v>
      </c>
      <c r="D12" s="389">
        <v>1833177</v>
      </c>
      <c r="E12" s="389">
        <v>1584000</v>
      </c>
      <c r="F12" s="389">
        <v>1592000</v>
      </c>
      <c r="G12" s="389">
        <v>1600000</v>
      </c>
      <c r="H12" s="389">
        <v>1608000</v>
      </c>
      <c r="I12" s="389">
        <v>1616000</v>
      </c>
      <c r="J12" s="389">
        <v>1624000</v>
      </c>
      <c r="K12" s="389">
        <v>1633000</v>
      </c>
      <c r="L12" s="389">
        <v>1650000</v>
      </c>
      <c r="M12" s="390">
        <v>1650000</v>
      </c>
    </row>
    <row r="13" spans="1:13" ht="12.75">
      <c r="A13" s="113" t="s">
        <v>494</v>
      </c>
      <c r="B13" s="130" t="s">
        <v>798</v>
      </c>
      <c r="C13" s="389">
        <v>895589</v>
      </c>
      <c r="D13" s="389">
        <v>1271740</v>
      </c>
      <c r="E13" s="389">
        <v>1000000</v>
      </c>
      <c r="F13" s="389">
        <v>900000</v>
      </c>
      <c r="G13" s="389">
        <v>700000</v>
      </c>
      <c r="H13" s="389">
        <v>700000</v>
      </c>
      <c r="I13" s="389">
        <v>600000</v>
      </c>
      <c r="J13" s="389">
        <v>550000</v>
      </c>
      <c r="K13" s="389">
        <v>400000</v>
      </c>
      <c r="L13" s="389">
        <v>350000</v>
      </c>
      <c r="M13" s="390">
        <v>350000</v>
      </c>
    </row>
    <row r="14" spans="1:13" ht="12.75">
      <c r="A14" s="113" t="s">
        <v>496</v>
      </c>
      <c r="B14" s="130" t="s">
        <v>799</v>
      </c>
      <c r="C14" s="389">
        <v>2056187</v>
      </c>
      <c r="D14" s="389">
        <v>2542353</v>
      </c>
      <c r="E14" s="389">
        <v>2100000</v>
      </c>
      <c r="F14" s="389">
        <v>2200000</v>
      </c>
      <c r="G14" s="389">
        <v>2300000</v>
      </c>
      <c r="H14" s="389">
        <v>2400000</v>
      </c>
      <c r="I14" s="389">
        <v>2500000</v>
      </c>
      <c r="J14" s="389">
        <v>2500000</v>
      </c>
      <c r="K14" s="389">
        <v>2600000</v>
      </c>
      <c r="L14" s="389">
        <v>2600000</v>
      </c>
      <c r="M14" s="390">
        <v>2650000</v>
      </c>
    </row>
    <row r="15" spans="1:13" ht="12.75">
      <c r="A15" s="113" t="s">
        <v>438</v>
      </c>
      <c r="B15" s="130" t="s">
        <v>439</v>
      </c>
      <c r="C15" s="389">
        <v>16507092</v>
      </c>
      <c r="D15" s="389">
        <v>17562248</v>
      </c>
      <c r="E15" s="389">
        <v>17700000</v>
      </c>
      <c r="F15" s="389">
        <v>18200000</v>
      </c>
      <c r="G15" s="389">
        <v>18100000</v>
      </c>
      <c r="H15" s="389">
        <v>18200000</v>
      </c>
      <c r="I15" s="389">
        <v>18300000</v>
      </c>
      <c r="J15" s="389">
        <v>18400000</v>
      </c>
      <c r="K15" s="389">
        <v>18500000</v>
      </c>
      <c r="L15" s="389">
        <v>18600000</v>
      </c>
      <c r="M15" s="390">
        <v>18600000</v>
      </c>
    </row>
    <row r="16" spans="1:13" ht="12.75">
      <c r="A16" s="113" t="s">
        <v>440</v>
      </c>
      <c r="B16" s="129" t="s">
        <v>686</v>
      </c>
      <c r="C16" s="389">
        <v>13741642</v>
      </c>
      <c r="D16" s="389">
        <v>11020591</v>
      </c>
      <c r="E16" s="389">
        <v>7761000</v>
      </c>
      <c r="F16" s="389">
        <v>6708000</v>
      </c>
      <c r="G16" s="389">
        <v>6500000</v>
      </c>
      <c r="H16" s="389">
        <v>6492000</v>
      </c>
      <c r="I16" s="389">
        <v>6484000</v>
      </c>
      <c r="J16" s="389">
        <v>6526000</v>
      </c>
      <c r="K16" s="389">
        <v>6567000</v>
      </c>
      <c r="L16" s="389">
        <v>6800000</v>
      </c>
      <c r="M16" s="390">
        <v>6850000</v>
      </c>
    </row>
    <row r="17" spans="1:13" ht="12.75">
      <c r="A17" s="405" t="s">
        <v>487</v>
      </c>
      <c r="B17" s="134" t="s">
        <v>442</v>
      </c>
      <c r="C17" s="406">
        <v>34613874</v>
      </c>
      <c r="D17" s="406">
        <v>34215862</v>
      </c>
      <c r="E17" s="406">
        <v>27895000</v>
      </c>
      <c r="F17" s="406">
        <v>28096000</v>
      </c>
      <c r="G17" s="406">
        <v>27950000</v>
      </c>
      <c r="H17" s="406">
        <v>28142000</v>
      </c>
      <c r="I17" s="406">
        <v>28252000</v>
      </c>
      <c r="J17" s="406">
        <v>28475000</v>
      </c>
      <c r="K17" s="406">
        <v>28512000</v>
      </c>
      <c r="L17" s="406">
        <v>28800000</v>
      </c>
      <c r="M17" s="407">
        <v>28850000</v>
      </c>
    </row>
    <row r="18" spans="1:13" ht="12.75">
      <c r="A18" s="405" t="s">
        <v>491</v>
      </c>
      <c r="B18" s="134" t="s">
        <v>687</v>
      </c>
      <c r="C18" s="406">
        <f>C19+C23+C27+C28</f>
        <v>3834691</v>
      </c>
      <c r="D18" s="406">
        <f>D19+D23+D27+D28</f>
        <v>3831053</v>
      </c>
      <c r="E18" s="406">
        <f>E19+E23+E27</f>
        <v>2352095</v>
      </c>
      <c r="F18" s="406">
        <f>F19+F23+F27</f>
        <v>2451987</v>
      </c>
      <c r="G18" s="406">
        <f aca="true" t="shared" si="2" ref="G18:M18">G19+G23+G27</f>
        <v>2122646</v>
      </c>
      <c r="H18" s="406">
        <f t="shared" si="2"/>
        <v>2175717</v>
      </c>
      <c r="I18" s="406">
        <f t="shared" si="2"/>
        <v>2869330</v>
      </c>
      <c r="J18" s="406">
        <f t="shared" si="2"/>
        <v>1374546</v>
      </c>
      <c r="K18" s="406">
        <f t="shared" si="2"/>
        <v>516593</v>
      </c>
      <c r="L18" s="406">
        <f t="shared" si="2"/>
        <v>344769</v>
      </c>
      <c r="M18" s="407">
        <f t="shared" si="2"/>
        <v>0</v>
      </c>
    </row>
    <row r="19" spans="1:13" ht="12.75">
      <c r="A19" s="113" t="s">
        <v>436</v>
      </c>
      <c r="B19" s="130" t="s">
        <v>800</v>
      </c>
      <c r="C19" s="389">
        <f>C20+C21+C22</f>
        <v>3834691</v>
      </c>
      <c r="D19" s="389">
        <v>3809053</v>
      </c>
      <c r="E19" s="389">
        <v>1924293</v>
      </c>
      <c r="F19" s="389">
        <v>2083972</v>
      </c>
      <c r="G19" s="389">
        <v>1740972</v>
      </c>
      <c r="H19" s="389">
        <v>1685972</v>
      </c>
      <c r="I19" s="389">
        <v>1568971</v>
      </c>
      <c r="J19" s="389">
        <v>1026404</v>
      </c>
      <c r="K19" s="389">
        <v>189419</v>
      </c>
      <c r="L19" s="130">
        <v>0</v>
      </c>
      <c r="M19" s="391">
        <v>0</v>
      </c>
    </row>
    <row r="20" spans="1:13" ht="12.75">
      <c r="A20" s="113" t="s">
        <v>493</v>
      </c>
      <c r="B20" s="129" t="s">
        <v>694</v>
      </c>
      <c r="C20" s="389">
        <v>3329691</v>
      </c>
      <c r="D20" s="389">
        <v>1267094</v>
      </c>
      <c r="E20" s="389">
        <v>1325293</v>
      </c>
      <c r="F20" s="389">
        <v>1672972</v>
      </c>
      <c r="G20" s="389">
        <v>1582972</v>
      </c>
      <c r="H20" s="389">
        <v>1552972</v>
      </c>
      <c r="I20" s="389">
        <v>1552971</v>
      </c>
      <c r="J20" s="389">
        <v>1126404</v>
      </c>
      <c r="K20" s="389">
        <v>496419</v>
      </c>
      <c r="L20" s="130">
        <v>320000</v>
      </c>
      <c r="M20" s="391">
        <v>0</v>
      </c>
    </row>
    <row r="21" spans="1:13" ht="45">
      <c r="A21" s="113" t="s">
        <v>494</v>
      </c>
      <c r="B21" s="129" t="s">
        <v>688</v>
      </c>
      <c r="C21" s="389">
        <v>0</v>
      </c>
      <c r="D21" s="389">
        <v>0</v>
      </c>
      <c r="E21" s="389">
        <v>0</v>
      </c>
      <c r="F21" s="389">
        <v>0</v>
      </c>
      <c r="G21" s="389">
        <v>0</v>
      </c>
      <c r="H21" s="389">
        <v>0</v>
      </c>
      <c r="I21" s="389">
        <v>0</v>
      </c>
      <c r="J21" s="389">
        <v>0</v>
      </c>
      <c r="K21" s="389">
        <v>0</v>
      </c>
      <c r="L21" s="389">
        <v>0</v>
      </c>
      <c r="M21" s="390">
        <v>0</v>
      </c>
    </row>
    <row r="22" spans="1:13" ht="12.75">
      <c r="A22" s="113" t="s">
        <v>496</v>
      </c>
      <c r="B22" s="129" t="s">
        <v>443</v>
      </c>
      <c r="C22" s="389">
        <v>505000</v>
      </c>
      <c r="D22" s="389">
        <v>493000</v>
      </c>
      <c r="E22" s="389">
        <v>699000</v>
      </c>
      <c r="F22" s="389">
        <v>661000</v>
      </c>
      <c r="G22" s="389">
        <v>508000</v>
      </c>
      <c r="H22" s="389">
        <v>453000</v>
      </c>
      <c r="I22" s="389">
        <v>336000</v>
      </c>
      <c r="J22" s="389">
        <v>220000</v>
      </c>
      <c r="K22" s="389">
        <v>13000</v>
      </c>
      <c r="L22" s="130"/>
      <c r="M22" s="391"/>
    </row>
    <row r="23" spans="1:13" ht="22.5">
      <c r="A23" s="113" t="s">
        <v>438</v>
      </c>
      <c r="B23" s="129" t="s">
        <v>693</v>
      </c>
      <c r="C23" s="389">
        <f>C24+C25+C26</f>
        <v>0</v>
      </c>
      <c r="D23" s="389">
        <f>D24+D25+D26</f>
        <v>22000</v>
      </c>
      <c r="E23" s="389">
        <f aca="true" t="shared" si="3" ref="E23:M23">E24+E25+E26</f>
        <v>147925</v>
      </c>
      <c r="F23" s="389">
        <f t="shared" si="3"/>
        <v>176030</v>
      </c>
      <c r="G23" s="389">
        <f t="shared" si="3"/>
        <v>167423</v>
      </c>
      <c r="H23" s="389">
        <f t="shared" si="3"/>
        <v>208777</v>
      </c>
      <c r="I23" s="389">
        <f t="shared" si="3"/>
        <v>200761</v>
      </c>
      <c r="J23" s="389">
        <f t="shared" si="3"/>
        <v>242744</v>
      </c>
      <c r="K23" s="389">
        <f t="shared" si="3"/>
        <v>224728</v>
      </c>
      <c r="L23" s="389">
        <f t="shared" si="3"/>
        <v>307787</v>
      </c>
      <c r="M23" s="390">
        <f t="shared" si="3"/>
        <v>0</v>
      </c>
    </row>
    <row r="24" spans="1:13" ht="12.75">
      <c r="A24" s="113" t="s">
        <v>493</v>
      </c>
      <c r="B24" s="130" t="s">
        <v>694</v>
      </c>
      <c r="C24" s="130"/>
      <c r="D24" s="130">
        <v>0</v>
      </c>
      <c r="E24" s="389">
        <v>52967</v>
      </c>
      <c r="F24" s="389">
        <v>100000</v>
      </c>
      <c r="G24" s="389">
        <v>100000</v>
      </c>
      <c r="H24" s="389">
        <v>150000</v>
      </c>
      <c r="I24" s="389">
        <v>150000</v>
      </c>
      <c r="J24" s="389">
        <v>200000</v>
      </c>
      <c r="K24" s="389">
        <v>200000</v>
      </c>
      <c r="L24" s="389">
        <v>300000</v>
      </c>
      <c r="M24" s="391">
        <v>0</v>
      </c>
    </row>
    <row r="25" spans="1:13" ht="45">
      <c r="A25" s="113" t="s">
        <v>494</v>
      </c>
      <c r="B25" s="129" t="s">
        <v>688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391">
        <v>0</v>
      </c>
    </row>
    <row r="26" spans="1:13" ht="12.75">
      <c r="A26" s="113" t="s">
        <v>496</v>
      </c>
      <c r="B26" s="130" t="s">
        <v>443</v>
      </c>
      <c r="C26" s="389">
        <v>0</v>
      </c>
      <c r="D26" s="389">
        <v>22000</v>
      </c>
      <c r="E26" s="389">
        <v>94958</v>
      </c>
      <c r="F26" s="389">
        <v>76030</v>
      </c>
      <c r="G26" s="389">
        <v>67423</v>
      </c>
      <c r="H26" s="389">
        <v>58777</v>
      </c>
      <c r="I26" s="389">
        <v>50761</v>
      </c>
      <c r="J26" s="389">
        <v>42744</v>
      </c>
      <c r="K26" s="389">
        <v>24728</v>
      </c>
      <c r="L26" s="389">
        <v>7787</v>
      </c>
      <c r="M26" s="391">
        <v>0</v>
      </c>
    </row>
    <row r="27" spans="1:13" ht="12.75">
      <c r="A27" s="113" t="s">
        <v>440</v>
      </c>
      <c r="B27" s="130" t="s">
        <v>695</v>
      </c>
      <c r="C27" s="130">
        <v>0</v>
      </c>
      <c r="D27" s="130">
        <v>0</v>
      </c>
      <c r="E27" s="389">
        <v>279877</v>
      </c>
      <c r="F27" s="389">
        <v>191985</v>
      </c>
      <c r="G27" s="389">
        <v>214251</v>
      </c>
      <c r="H27" s="389">
        <v>280968</v>
      </c>
      <c r="I27" s="389">
        <v>1099598</v>
      </c>
      <c r="J27" s="389">
        <v>105398</v>
      </c>
      <c r="K27" s="389">
        <v>102446</v>
      </c>
      <c r="L27" s="389">
        <v>36982</v>
      </c>
      <c r="M27" s="391">
        <v>0</v>
      </c>
    </row>
    <row r="28" spans="1:13" ht="24.75" customHeight="1">
      <c r="A28" s="113" t="s">
        <v>801</v>
      </c>
      <c r="B28" s="129" t="s">
        <v>524</v>
      </c>
      <c r="C28" s="389">
        <v>0</v>
      </c>
      <c r="D28" s="389">
        <v>0</v>
      </c>
      <c r="E28" s="389">
        <v>0</v>
      </c>
      <c r="F28" s="389">
        <v>0</v>
      </c>
      <c r="G28" s="389">
        <v>0</v>
      </c>
      <c r="H28" s="389">
        <v>0</v>
      </c>
      <c r="I28" s="389">
        <v>0</v>
      </c>
      <c r="J28" s="389">
        <v>0</v>
      </c>
      <c r="K28" s="389">
        <v>0</v>
      </c>
      <c r="L28" s="389">
        <v>0</v>
      </c>
      <c r="M28" s="390">
        <v>0</v>
      </c>
    </row>
    <row r="29" spans="1:13" ht="12.75">
      <c r="A29" s="634" t="s">
        <v>519</v>
      </c>
      <c r="B29" s="357" t="s">
        <v>444</v>
      </c>
      <c r="C29" s="635">
        <f>C10-C17</f>
        <v>531501</v>
      </c>
      <c r="D29" s="635">
        <f aca="true" t="shared" si="4" ref="D29:M29">D10-D17</f>
        <v>14247</v>
      </c>
      <c r="E29" s="635">
        <f t="shared" si="4"/>
        <v>2250000</v>
      </c>
      <c r="F29" s="635">
        <f t="shared" si="4"/>
        <v>1504000</v>
      </c>
      <c r="G29" s="635">
        <f t="shared" si="4"/>
        <v>1250000</v>
      </c>
      <c r="H29" s="635">
        <f t="shared" si="4"/>
        <v>1258000</v>
      </c>
      <c r="I29" s="635">
        <f t="shared" si="4"/>
        <v>1248000</v>
      </c>
      <c r="J29" s="635">
        <f t="shared" si="4"/>
        <v>1125000</v>
      </c>
      <c r="K29" s="635">
        <f t="shared" si="4"/>
        <v>1188000</v>
      </c>
      <c r="L29" s="635">
        <f t="shared" si="4"/>
        <v>1200000</v>
      </c>
      <c r="M29" s="636">
        <f t="shared" si="4"/>
        <v>1250000</v>
      </c>
    </row>
    <row r="30" spans="1:13" ht="12.75">
      <c r="A30" s="405" t="s">
        <v>526</v>
      </c>
      <c r="B30" s="134" t="s">
        <v>930</v>
      </c>
      <c r="C30" s="406">
        <v>10562658</v>
      </c>
      <c r="D30" s="406">
        <v>10882970</v>
      </c>
      <c r="E30" s="406">
        <v>9784587</v>
      </c>
      <c r="F30" s="406">
        <v>7923723</v>
      </c>
      <c r="G30" s="406">
        <v>6263017</v>
      </c>
      <c r="H30" s="406">
        <v>4626762</v>
      </c>
      <c r="I30" s="406">
        <v>3742421</v>
      </c>
      <c r="J30" s="406">
        <v>1421817</v>
      </c>
      <c r="K30" s="406">
        <v>722446</v>
      </c>
      <c r="L30" s="134">
        <v>36982</v>
      </c>
      <c r="M30" s="408">
        <v>0</v>
      </c>
    </row>
    <row r="31" spans="1:13" ht="12.75">
      <c r="A31" s="405" t="s">
        <v>696</v>
      </c>
      <c r="B31" s="134" t="s">
        <v>689</v>
      </c>
      <c r="C31" s="409">
        <f>C30/C10</f>
        <v>0.3005419062963477</v>
      </c>
      <c r="D31" s="409">
        <f aca="true" t="shared" si="5" ref="D31:M31">D30/D10</f>
        <v>0.31793559290155926</v>
      </c>
      <c r="E31" s="409">
        <f t="shared" si="5"/>
        <v>0.32458407696135344</v>
      </c>
      <c r="F31" s="409">
        <f t="shared" si="5"/>
        <v>0.2676933445945946</v>
      </c>
      <c r="G31" s="409">
        <f t="shared" si="5"/>
        <v>0.21448688356164383</v>
      </c>
      <c r="H31" s="409">
        <f t="shared" si="5"/>
        <v>0.15737285714285715</v>
      </c>
      <c r="I31" s="409">
        <f t="shared" si="5"/>
        <v>0.1268617288135593</v>
      </c>
      <c r="J31" s="409">
        <f t="shared" si="5"/>
        <v>0.048034358108108105</v>
      </c>
      <c r="K31" s="409">
        <f t="shared" si="5"/>
        <v>0.024324781144781146</v>
      </c>
      <c r="L31" s="409">
        <f t="shared" si="5"/>
        <v>0.0012327333333333333</v>
      </c>
      <c r="M31" s="606">
        <f t="shared" si="5"/>
        <v>0</v>
      </c>
    </row>
    <row r="32" spans="1:13" ht="22.5">
      <c r="A32" s="405" t="s">
        <v>697</v>
      </c>
      <c r="B32" s="127" t="s">
        <v>690</v>
      </c>
      <c r="C32" s="409">
        <f>C20/C10</f>
        <v>0.0947405170666126</v>
      </c>
      <c r="D32" s="409">
        <f aca="true" t="shared" si="6" ref="D32:M32">D20/D10</f>
        <v>0.0370169431829738</v>
      </c>
      <c r="E32" s="409">
        <f t="shared" si="6"/>
        <v>0.04396394095206502</v>
      </c>
      <c r="F32" s="409">
        <f t="shared" si="6"/>
        <v>0.05651932432432433</v>
      </c>
      <c r="G32" s="409">
        <f t="shared" si="6"/>
        <v>0.0542113698630137</v>
      </c>
      <c r="H32" s="409">
        <f t="shared" si="6"/>
        <v>0.0528221768707483</v>
      </c>
      <c r="I32" s="409">
        <f t="shared" si="6"/>
        <v>0.052643084745762715</v>
      </c>
      <c r="J32" s="409">
        <f t="shared" si="6"/>
        <v>0.03805418918918919</v>
      </c>
      <c r="K32" s="409">
        <f t="shared" si="6"/>
        <v>0.016714444444444445</v>
      </c>
      <c r="L32" s="409">
        <f t="shared" si="6"/>
        <v>0.010666666666666666</v>
      </c>
      <c r="M32" s="606">
        <f t="shared" si="6"/>
        <v>0</v>
      </c>
    </row>
    <row r="33" spans="1:13" ht="22.5">
      <c r="A33" s="405" t="s">
        <v>698</v>
      </c>
      <c r="B33" s="127" t="s">
        <v>691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408">
        <v>0</v>
      </c>
    </row>
    <row r="34" spans="1:13" ht="23.25" thickBot="1">
      <c r="A34" s="410" t="s">
        <v>699</v>
      </c>
      <c r="B34" s="411" t="s">
        <v>692</v>
      </c>
      <c r="C34" s="412">
        <v>0</v>
      </c>
      <c r="D34" s="412">
        <v>0</v>
      </c>
      <c r="E34" s="412">
        <v>0</v>
      </c>
      <c r="F34" s="412">
        <v>0</v>
      </c>
      <c r="G34" s="412">
        <v>0</v>
      </c>
      <c r="H34" s="412">
        <v>0</v>
      </c>
      <c r="I34" s="412">
        <v>0</v>
      </c>
      <c r="J34" s="412">
        <v>0</v>
      </c>
      <c r="K34" s="412">
        <v>0</v>
      </c>
      <c r="L34" s="412">
        <v>0</v>
      </c>
      <c r="M34" s="607">
        <v>0</v>
      </c>
    </row>
    <row r="35" spans="10:13" ht="17.25" customHeight="1">
      <c r="J35" s="848" t="s">
        <v>899</v>
      </c>
      <c r="K35" s="848"/>
      <c r="L35" s="848"/>
      <c r="M35" s="848"/>
    </row>
  </sheetData>
  <mergeCells count="10">
    <mergeCell ref="I2:L2"/>
    <mergeCell ref="J1:L1"/>
    <mergeCell ref="J3:L3"/>
    <mergeCell ref="J35:M35"/>
    <mergeCell ref="A4:L4"/>
    <mergeCell ref="C7:C8"/>
    <mergeCell ref="D7:D8"/>
    <mergeCell ref="A7:A8"/>
    <mergeCell ref="B7:B8"/>
    <mergeCell ref="E7:M7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2092"/>
  <sheetViews>
    <sheetView view="pageBreakPreview" zoomScale="75" zoomScaleSheetLayoutView="75" workbookViewId="0" topLeftCell="A1">
      <selection activeCell="C506" sqref="C506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27.87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12.75390625" style="0" hidden="1" customWidth="1"/>
    <col min="11" max="11" width="12.625" style="0" customWidth="1"/>
    <col min="12" max="12" width="11.125" style="0" customWidth="1"/>
    <col min="13" max="13" width="8.75390625" style="0" customWidth="1"/>
    <col min="14" max="14" width="9.25390625" style="0" customWidth="1"/>
    <col min="15" max="15" width="10.875" style="0" customWidth="1"/>
    <col min="16" max="16" width="10.75390625" style="0" customWidth="1"/>
    <col min="17" max="17" width="9.625" style="0" customWidth="1"/>
    <col min="18" max="18" width="9.25390625" style="0" customWidth="1"/>
    <col min="19" max="19" width="9.00390625" style="0" customWidth="1"/>
    <col min="20" max="20" width="11.75390625" style="0" customWidth="1"/>
  </cols>
  <sheetData>
    <row r="1" spans="11:18" ht="30.75" customHeight="1">
      <c r="K1" s="320"/>
      <c r="L1" s="658" t="s">
        <v>396</v>
      </c>
      <c r="M1" s="658"/>
      <c r="N1" s="658"/>
      <c r="O1" s="659"/>
      <c r="P1" s="659"/>
      <c r="Q1" s="659"/>
      <c r="R1" s="659"/>
    </row>
    <row r="2" spans="2:24" ht="18.75" customHeight="1" thickBot="1">
      <c r="B2" s="661" t="s">
        <v>395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0"/>
      <c r="S2" s="660"/>
      <c r="T2" s="660"/>
      <c r="U2" s="660"/>
      <c r="V2" s="660"/>
      <c r="W2" s="660"/>
      <c r="X2" s="660"/>
    </row>
    <row r="3" spans="2:17" ht="19.5" customHeight="1" hidden="1" thickBot="1">
      <c r="B3" s="9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</row>
    <row r="4" spans="1:93" ht="21" customHeight="1">
      <c r="A4" s="624" t="s">
        <v>904</v>
      </c>
      <c r="B4" s="654" t="s">
        <v>905</v>
      </c>
      <c r="C4" s="637" t="s">
        <v>412</v>
      </c>
      <c r="D4" s="351"/>
      <c r="E4" s="351"/>
      <c r="F4" s="351"/>
      <c r="G4" s="351"/>
      <c r="H4" s="351"/>
      <c r="I4" s="351"/>
      <c r="J4" s="505"/>
      <c r="K4" s="637" t="s">
        <v>651</v>
      </c>
      <c r="L4" s="637" t="s">
        <v>309</v>
      </c>
      <c r="M4" s="637" t="s">
        <v>371</v>
      </c>
      <c r="N4" s="637" t="s">
        <v>367</v>
      </c>
      <c r="O4" s="637"/>
      <c r="P4" s="637"/>
      <c r="Q4" s="637"/>
      <c r="R4" s="637"/>
      <c r="S4" s="637"/>
      <c r="T4" s="638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</row>
    <row r="5" spans="1:93" ht="21" customHeight="1">
      <c r="A5" s="625"/>
      <c r="B5" s="655"/>
      <c r="C5" s="622"/>
      <c r="D5" s="338"/>
      <c r="E5" s="338"/>
      <c r="F5" s="338"/>
      <c r="G5" s="338"/>
      <c r="H5" s="338"/>
      <c r="I5" s="338"/>
      <c r="J5" s="471"/>
      <c r="K5" s="622"/>
      <c r="L5" s="622"/>
      <c r="M5" s="622"/>
      <c r="N5" s="622" t="s">
        <v>747</v>
      </c>
      <c r="O5" s="622" t="s">
        <v>475</v>
      </c>
      <c r="P5" s="622"/>
      <c r="Q5" s="622"/>
      <c r="R5" s="622"/>
      <c r="S5" s="622"/>
      <c r="T5" s="662" t="s">
        <v>848</v>
      </c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</row>
    <row r="6" spans="1:93" ht="21" customHeight="1">
      <c r="A6" s="625"/>
      <c r="B6" s="655"/>
      <c r="C6" s="622"/>
      <c r="D6" s="338"/>
      <c r="E6" s="338"/>
      <c r="F6" s="338"/>
      <c r="G6" s="338"/>
      <c r="H6" s="338"/>
      <c r="I6" s="338"/>
      <c r="J6" s="471"/>
      <c r="K6" s="622"/>
      <c r="L6" s="622"/>
      <c r="M6" s="622"/>
      <c r="N6" s="622"/>
      <c r="O6" s="632" t="s">
        <v>153</v>
      </c>
      <c r="P6" s="632" t="s">
        <v>152</v>
      </c>
      <c r="Q6" s="632" t="s">
        <v>441</v>
      </c>
      <c r="R6" s="632" t="s">
        <v>151</v>
      </c>
      <c r="S6" s="632" t="s">
        <v>372</v>
      </c>
      <c r="T6" s="662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</row>
    <row r="7" spans="1:93" ht="21" customHeight="1" thickBot="1">
      <c r="A7" s="653"/>
      <c r="B7" s="656"/>
      <c r="C7" s="623"/>
      <c r="D7" s="350"/>
      <c r="E7" s="350"/>
      <c r="F7" s="350"/>
      <c r="G7" s="350"/>
      <c r="H7" s="350"/>
      <c r="I7" s="350"/>
      <c r="J7" s="472"/>
      <c r="K7" s="623"/>
      <c r="L7" s="623"/>
      <c r="M7" s="623"/>
      <c r="N7" s="623"/>
      <c r="O7" s="633"/>
      <c r="P7" s="633"/>
      <c r="Q7" s="633"/>
      <c r="R7" s="633"/>
      <c r="S7" s="633"/>
      <c r="T7" s="663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</row>
    <row r="8" spans="1:93" ht="12" customHeight="1">
      <c r="A8" s="488">
        <v>1</v>
      </c>
      <c r="B8" s="349">
        <v>2</v>
      </c>
      <c r="C8" s="214">
        <v>3</v>
      </c>
      <c r="D8" s="214">
        <v>4</v>
      </c>
      <c r="E8" s="214">
        <v>4</v>
      </c>
      <c r="F8" s="214">
        <v>5</v>
      </c>
      <c r="G8" s="214">
        <v>6</v>
      </c>
      <c r="H8" s="214">
        <v>5</v>
      </c>
      <c r="I8" s="214"/>
      <c r="J8" s="214"/>
      <c r="K8" s="214">
        <v>4</v>
      </c>
      <c r="L8" s="214">
        <v>5</v>
      </c>
      <c r="M8" s="214"/>
      <c r="N8" s="214"/>
      <c r="O8" s="214">
        <v>6</v>
      </c>
      <c r="P8" s="214">
        <v>7</v>
      </c>
      <c r="Q8" s="214">
        <v>8</v>
      </c>
      <c r="R8" s="214">
        <v>9</v>
      </c>
      <c r="S8" s="214">
        <v>10</v>
      </c>
      <c r="T8" s="489">
        <v>11</v>
      </c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</row>
    <row r="9" spans="1:93" ht="19.5" customHeight="1">
      <c r="A9" s="506" t="s">
        <v>906</v>
      </c>
      <c r="B9" s="507"/>
      <c r="C9" s="321" t="s">
        <v>908</v>
      </c>
      <c r="D9" s="36"/>
      <c r="E9" s="36"/>
      <c r="F9" s="36"/>
      <c r="G9" s="36"/>
      <c r="H9" s="36"/>
      <c r="I9" s="36"/>
      <c r="J9" s="36"/>
      <c r="K9" s="352">
        <v>31700</v>
      </c>
      <c r="L9" s="352">
        <f>L10+L12</f>
        <v>57700</v>
      </c>
      <c r="M9" s="473">
        <f>L9/K9</f>
        <v>1.8201892744479495</v>
      </c>
      <c r="N9" s="352">
        <f>N10+N12</f>
        <v>57700</v>
      </c>
      <c r="O9" s="352">
        <f aca="true" t="shared" si="0" ref="O9:T9">O10+O12</f>
        <v>0</v>
      </c>
      <c r="P9" s="352">
        <f t="shared" si="0"/>
        <v>0</v>
      </c>
      <c r="Q9" s="352">
        <f t="shared" si="0"/>
        <v>1700</v>
      </c>
      <c r="R9" s="352">
        <f t="shared" si="0"/>
        <v>0</v>
      </c>
      <c r="S9" s="352">
        <f t="shared" si="0"/>
        <v>0</v>
      </c>
      <c r="T9" s="490">
        <f t="shared" si="0"/>
        <v>0</v>
      </c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</row>
    <row r="10" spans="1:93" ht="21" customHeight="1">
      <c r="A10" s="508" t="s">
        <v>24</v>
      </c>
      <c r="B10" s="509"/>
      <c r="C10" s="331" t="s">
        <v>585</v>
      </c>
      <c r="D10" s="326">
        <f aca="true" t="shared" si="1" ref="D10:J10">D11</f>
        <v>0</v>
      </c>
      <c r="E10" s="326">
        <f t="shared" si="1"/>
        <v>37400</v>
      </c>
      <c r="F10" s="326">
        <f t="shared" si="1"/>
        <v>0</v>
      </c>
      <c r="G10" s="326">
        <f t="shared" si="1"/>
        <v>0</v>
      </c>
      <c r="H10" s="326">
        <f t="shared" si="1"/>
        <v>45000</v>
      </c>
      <c r="I10" s="326">
        <f t="shared" si="1"/>
        <v>0</v>
      </c>
      <c r="J10" s="326">
        <f t="shared" si="1"/>
        <v>0</v>
      </c>
      <c r="K10" s="353">
        <v>30000</v>
      </c>
      <c r="L10" s="353">
        <f>L11</f>
        <v>56000</v>
      </c>
      <c r="M10" s="539">
        <f aca="true" t="shared" si="2" ref="M10:M73">L10/K10</f>
        <v>1.8666666666666667</v>
      </c>
      <c r="N10" s="353">
        <f>N11</f>
        <v>56000</v>
      </c>
      <c r="O10" s="353">
        <f aca="true" t="shared" si="3" ref="O10:T10">O11</f>
        <v>0</v>
      </c>
      <c r="P10" s="353">
        <f t="shared" si="3"/>
        <v>0</v>
      </c>
      <c r="Q10" s="353">
        <f t="shared" si="3"/>
        <v>0</v>
      </c>
      <c r="R10" s="353">
        <f t="shared" si="3"/>
        <v>0</v>
      </c>
      <c r="S10" s="353">
        <f t="shared" si="3"/>
        <v>0</v>
      </c>
      <c r="T10" s="491">
        <f t="shared" si="3"/>
        <v>0</v>
      </c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</row>
    <row r="11" spans="1:93" ht="15.75" customHeight="1">
      <c r="A11" s="510"/>
      <c r="B11" s="145" t="s">
        <v>16</v>
      </c>
      <c r="C11" s="129" t="s">
        <v>99</v>
      </c>
      <c r="D11" s="6">
        <v>0</v>
      </c>
      <c r="E11" s="6">
        <v>37400</v>
      </c>
      <c r="F11" s="6">
        <v>0</v>
      </c>
      <c r="G11" s="6">
        <v>0</v>
      </c>
      <c r="H11" s="6">
        <v>45000</v>
      </c>
      <c r="I11" s="6">
        <v>0</v>
      </c>
      <c r="J11" s="6">
        <v>0</v>
      </c>
      <c r="K11" s="130">
        <v>30000</v>
      </c>
      <c r="L11" s="130">
        <v>56000</v>
      </c>
      <c r="M11" s="356">
        <f t="shared" si="2"/>
        <v>1.8666666666666667</v>
      </c>
      <c r="N11" s="130">
        <f>L11</f>
        <v>56000</v>
      </c>
      <c r="O11" s="130"/>
      <c r="P11" s="354">
        <v>0</v>
      </c>
      <c r="Q11" s="355">
        <v>0</v>
      </c>
      <c r="R11" s="356"/>
      <c r="S11" s="356"/>
      <c r="T11" s="492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</row>
    <row r="12" spans="1:93" ht="15.75" customHeight="1">
      <c r="A12" s="508" t="s">
        <v>605</v>
      </c>
      <c r="B12" s="509"/>
      <c r="C12" s="327" t="s">
        <v>72</v>
      </c>
      <c r="D12" s="326"/>
      <c r="E12" s="326"/>
      <c r="F12" s="326"/>
      <c r="G12" s="326"/>
      <c r="H12" s="326">
        <f>H13</f>
        <v>1200</v>
      </c>
      <c r="I12" s="326">
        <f>I13</f>
        <v>0</v>
      </c>
      <c r="J12" s="326">
        <f>J13</f>
        <v>0</v>
      </c>
      <c r="K12" s="353">
        <v>1700</v>
      </c>
      <c r="L12" s="353">
        <f>L13</f>
        <v>1700</v>
      </c>
      <c r="M12" s="539">
        <f t="shared" si="2"/>
        <v>1</v>
      </c>
      <c r="N12" s="353">
        <f aca="true" t="shared" si="4" ref="N12:T12">N13</f>
        <v>1700</v>
      </c>
      <c r="O12" s="353">
        <f t="shared" si="4"/>
        <v>0</v>
      </c>
      <c r="P12" s="353">
        <f t="shared" si="4"/>
        <v>0</v>
      </c>
      <c r="Q12" s="353">
        <f t="shared" si="4"/>
        <v>1700</v>
      </c>
      <c r="R12" s="353">
        <f t="shared" si="4"/>
        <v>0</v>
      </c>
      <c r="S12" s="353">
        <f t="shared" si="4"/>
        <v>0</v>
      </c>
      <c r="T12" s="491">
        <f t="shared" si="4"/>
        <v>0</v>
      </c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</row>
    <row r="13" spans="1:20" s="167" customFormat="1" ht="24" customHeight="1">
      <c r="A13" s="510"/>
      <c r="B13" s="145" t="s">
        <v>62</v>
      </c>
      <c r="C13" s="129" t="s">
        <v>310</v>
      </c>
      <c r="D13" s="6"/>
      <c r="E13" s="6"/>
      <c r="F13" s="6"/>
      <c r="G13" s="6"/>
      <c r="H13" s="6">
        <v>1200</v>
      </c>
      <c r="I13" s="6">
        <v>0</v>
      </c>
      <c r="J13" s="6">
        <v>0</v>
      </c>
      <c r="K13" s="130">
        <v>1700</v>
      </c>
      <c r="L13" s="130">
        <v>1700</v>
      </c>
      <c r="M13" s="356">
        <f t="shared" si="2"/>
        <v>1</v>
      </c>
      <c r="N13" s="130">
        <f>L13</f>
        <v>1700</v>
      </c>
      <c r="O13" s="130">
        <v>0</v>
      </c>
      <c r="P13" s="354">
        <v>0</v>
      </c>
      <c r="Q13" s="354">
        <f>N13</f>
        <v>1700</v>
      </c>
      <c r="R13" s="356"/>
      <c r="S13" s="356"/>
      <c r="T13" s="492"/>
    </row>
    <row r="14" spans="1:20" s="167" customFormat="1" ht="24" customHeight="1">
      <c r="A14" s="511" t="s">
        <v>25</v>
      </c>
      <c r="B14" s="512"/>
      <c r="C14" s="201" t="s">
        <v>26</v>
      </c>
      <c r="D14" s="322"/>
      <c r="E14" s="322"/>
      <c r="F14" s="322"/>
      <c r="G14" s="322"/>
      <c r="H14" s="322"/>
      <c r="I14" s="322"/>
      <c r="J14" s="322"/>
      <c r="K14" s="357">
        <v>153909</v>
      </c>
      <c r="L14" s="357">
        <f>L15+L17</f>
        <v>157959</v>
      </c>
      <c r="M14" s="359">
        <f t="shared" si="2"/>
        <v>1.0263142506286183</v>
      </c>
      <c r="N14" s="357">
        <f aca="true" t="shared" si="5" ref="N14:T14">N15+N17</f>
        <v>157959</v>
      </c>
      <c r="O14" s="357">
        <f t="shared" si="5"/>
        <v>0</v>
      </c>
      <c r="P14" s="357">
        <f t="shared" si="5"/>
        <v>0</v>
      </c>
      <c r="Q14" s="357">
        <f t="shared" si="5"/>
        <v>0</v>
      </c>
      <c r="R14" s="357">
        <f t="shared" si="5"/>
        <v>0</v>
      </c>
      <c r="S14" s="357">
        <f t="shared" si="5"/>
        <v>0</v>
      </c>
      <c r="T14" s="493">
        <f t="shared" si="5"/>
        <v>0</v>
      </c>
    </row>
    <row r="15" spans="1:20" s="167" customFormat="1" ht="24" customHeight="1">
      <c r="A15" s="513" t="s">
        <v>763</v>
      </c>
      <c r="B15" s="514" t="s">
        <v>1</v>
      </c>
      <c r="C15" s="326" t="s">
        <v>762</v>
      </c>
      <c r="D15" s="329"/>
      <c r="E15" s="329"/>
      <c r="F15" s="329"/>
      <c r="G15" s="329"/>
      <c r="H15" s="329"/>
      <c r="I15" s="329"/>
      <c r="J15" s="329"/>
      <c r="K15" s="353">
        <v>141159</v>
      </c>
      <c r="L15" s="353">
        <f>L16</f>
        <v>142159</v>
      </c>
      <c r="M15" s="539">
        <f t="shared" si="2"/>
        <v>1.0070842100043214</v>
      </c>
      <c r="N15" s="353">
        <f aca="true" t="shared" si="6" ref="N15:T15">N16</f>
        <v>142159</v>
      </c>
      <c r="O15" s="353">
        <f t="shared" si="6"/>
        <v>0</v>
      </c>
      <c r="P15" s="353">
        <f t="shared" si="6"/>
        <v>0</v>
      </c>
      <c r="Q15" s="353">
        <f t="shared" si="6"/>
        <v>0</v>
      </c>
      <c r="R15" s="353">
        <f t="shared" si="6"/>
        <v>0</v>
      </c>
      <c r="S15" s="353">
        <f t="shared" si="6"/>
        <v>0</v>
      </c>
      <c r="T15" s="491">
        <f t="shared" si="6"/>
        <v>0</v>
      </c>
    </row>
    <row r="16" spans="1:20" s="167" customFormat="1" ht="16.5" customHeight="1">
      <c r="A16" s="515"/>
      <c r="B16" s="139"/>
      <c r="C16" s="130" t="s">
        <v>65</v>
      </c>
      <c r="D16" s="6">
        <v>29992</v>
      </c>
      <c r="E16" s="6">
        <v>21000</v>
      </c>
      <c r="F16" s="6">
        <v>0</v>
      </c>
      <c r="G16" s="6">
        <v>0</v>
      </c>
      <c r="H16" s="6">
        <v>83025</v>
      </c>
      <c r="I16" s="6">
        <v>0</v>
      </c>
      <c r="J16" s="6">
        <v>0</v>
      </c>
      <c r="K16" s="130">
        <v>141159</v>
      </c>
      <c r="L16" s="130">
        <v>142159</v>
      </c>
      <c r="M16" s="356">
        <f t="shared" si="2"/>
        <v>1.0070842100043214</v>
      </c>
      <c r="N16" s="130">
        <f>L16</f>
        <v>142159</v>
      </c>
      <c r="O16" s="130">
        <v>0</v>
      </c>
      <c r="P16" s="354">
        <v>0</v>
      </c>
      <c r="Q16" s="355">
        <v>0</v>
      </c>
      <c r="R16" s="356"/>
      <c r="S16" s="356"/>
      <c r="T16" s="492"/>
    </row>
    <row r="17" spans="1:20" s="167" customFormat="1" ht="16.5" customHeight="1">
      <c r="A17" s="513" t="s">
        <v>27</v>
      </c>
      <c r="B17" s="514"/>
      <c r="C17" s="326" t="s">
        <v>28</v>
      </c>
      <c r="D17" s="329"/>
      <c r="E17" s="329"/>
      <c r="F17" s="329"/>
      <c r="G17" s="329"/>
      <c r="H17" s="326">
        <f>H19+H18</f>
        <v>11000</v>
      </c>
      <c r="I17" s="326">
        <f>I19+I18</f>
        <v>0</v>
      </c>
      <c r="J17" s="326">
        <f>J19+J18</f>
        <v>0</v>
      </c>
      <c r="K17" s="353">
        <v>12750</v>
      </c>
      <c r="L17" s="353">
        <f>L19+L18</f>
        <v>15800</v>
      </c>
      <c r="M17" s="539">
        <f t="shared" si="2"/>
        <v>1.2392156862745098</v>
      </c>
      <c r="N17" s="353">
        <f aca="true" t="shared" si="7" ref="N17:T17">N19+N18</f>
        <v>15800</v>
      </c>
      <c r="O17" s="353">
        <f t="shared" si="7"/>
        <v>0</v>
      </c>
      <c r="P17" s="353">
        <f t="shared" si="7"/>
        <v>0</v>
      </c>
      <c r="Q17" s="353">
        <f t="shared" si="7"/>
        <v>0</v>
      </c>
      <c r="R17" s="353">
        <f t="shared" si="7"/>
        <v>0</v>
      </c>
      <c r="S17" s="353">
        <f t="shared" si="7"/>
        <v>0</v>
      </c>
      <c r="T17" s="491">
        <f t="shared" si="7"/>
        <v>0</v>
      </c>
    </row>
    <row r="18" spans="1:20" s="167" customFormat="1" ht="16.5" customHeight="1">
      <c r="A18" s="516"/>
      <c r="B18" s="145" t="s">
        <v>10</v>
      </c>
      <c r="C18" s="130" t="s">
        <v>11</v>
      </c>
      <c r="D18" s="14"/>
      <c r="E18" s="14"/>
      <c r="F18" s="14"/>
      <c r="G18" s="14"/>
      <c r="H18" s="14">
        <v>942</v>
      </c>
      <c r="I18" s="6">
        <v>0</v>
      </c>
      <c r="J18" s="6">
        <v>0</v>
      </c>
      <c r="K18" s="130">
        <v>0</v>
      </c>
      <c r="L18" s="130">
        <v>500</v>
      </c>
      <c r="M18" s="356">
        <v>0</v>
      </c>
      <c r="N18" s="130">
        <f>L18</f>
        <v>500</v>
      </c>
      <c r="O18" s="130">
        <v>0</v>
      </c>
      <c r="P18" s="130"/>
      <c r="Q18" s="358">
        <v>0</v>
      </c>
      <c r="R18" s="356"/>
      <c r="S18" s="356"/>
      <c r="T18" s="492"/>
    </row>
    <row r="19" spans="1:20" s="167" customFormat="1" ht="16.5" customHeight="1">
      <c r="A19" s="515"/>
      <c r="B19" s="145" t="s">
        <v>16</v>
      </c>
      <c r="C19" s="130" t="s">
        <v>99</v>
      </c>
      <c r="D19" s="6"/>
      <c r="E19" s="6"/>
      <c r="F19" s="6"/>
      <c r="G19" s="6"/>
      <c r="H19" s="6">
        <v>10058</v>
      </c>
      <c r="I19" s="6">
        <v>0</v>
      </c>
      <c r="J19" s="6">
        <v>0</v>
      </c>
      <c r="K19" s="130">
        <v>12750</v>
      </c>
      <c r="L19" s="130">
        <v>15300</v>
      </c>
      <c r="M19" s="356">
        <f t="shared" si="2"/>
        <v>1.2</v>
      </c>
      <c r="N19" s="130">
        <f>L19</f>
        <v>15300</v>
      </c>
      <c r="O19" s="130">
        <v>0</v>
      </c>
      <c r="P19" s="354"/>
      <c r="Q19" s="355">
        <v>0</v>
      </c>
      <c r="R19" s="356"/>
      <c r="S19" s="356"/>
      <c r="T19" s="492"/>
    </row>
    <row r="20" spans="1:20" s="167" customFormat="1" ht="22.5" customHeight="1">
      <c r="A20" s="511" t="s">
        <v>29</v>
      </c>
      <c r="B20" s="512"/>
      <c r="C20" s="201" t="s">
        <v>30</v>
      </c>
      <c r="D20" s="201" t="e">
        <f aca="true" t="shared" si="8" ref="D20:T20">D21</f>
        <v>#REF!</v>
      </c>
      <c r="E20" s="201" t="e">
        <f t="shared" si="8"/>
        <v>#REF!</v>
      </c>
      <c r="F20" s="201" t="e">
        <f t="shared" si="8"/>
        <v>#REF!</v>
      </c>
      <c r="G20" s="201" t="e">
        <f t="shared" si="8"/>
        <v>#REF!</v>
      </c>
      <c r="H20" s="201" t="e">
        <f t="shared" si="8"/>
        <v>#REF!</v>
      </c>
      <c r="I20" s="201" t="e">
        <f t="shared" si="8"/>
        <v>#REF!</v>
      </c>
      <c r="J20" s="201" t="e">
        <f t="shared" si="8"/>
        <v>#REF!</v>
      </c>
      <c r="K20" s="357">
        <f t="shared" si="8"/>
        <v>4361033</v>
      </c>
      <c r="L20" s="357">
        <f t="shared" si="8"/>
        <v>4012595</v>
      </c>
      <c r="M20" s="474">
        <f>L20/K20</f>
        <v>0.920101957494933</v>
      </c>
      <c r="N20" s="357">
        <f t="shared" si="8"/>
        <v>1259867</v>
      </c>
      <c r="O20" s="357">
        <f t="shared" si="8"/>
        <v>455767</v>
      </c>
      <c r="P20" s="357">
        <f t="shared" si="8"/>
        <v>60661</v>
      </c>
      <c r="Q20" s="357">
        <f t="shared" si="8"/>
        <v>15000</v>
      </c>
      <c r="R20" s="357">
        <f t="shared" si="8"/>
        <v>0</v>
      </c>
      <c r="S20" s="357">
        <f t="shared" si="8"/>
        <v>0</v>
      </c>
      <c r="T20" s="493">
        <f t="shared" si="8"/>
        <v>2752728</v>
      </c>
    </row>
    <row r="21" spans="1:20" s="167" customFormat="1" ht="15" customHeight="1">
      <c r="A21" s="513" t="s">
        <v>31</v>
      </c>
      <c r="B21" s="514"/>
      <c r="C21" s="326" t="s">
        <v>32</v>
      </c>
      <c r="D21" s="326" t="e">
        <f>D24+D25+D26+D23+#REF!+D46</f>
        <v>#REF!</v>
      </c>
      <c r="E21" s="326" t="e">
        <f>E24+E25+E26+E27+E23+#REF!+E29+E30+E31+E33+E37+E38+E39+E40+#REF!+E45+E46+#REF!</f>
        <v>#REF!</v>
      </c>
      <c r="F21" s="326" t="e">
        <f>F24+F25+F26+F27+F23+#REF!+F29+F30+F31+F33+F37+F38+F39+F40+F45+F46+#REF!+#REF!</f>
        <v>#REF!</v>
      </c>
      <c r="G21" s="326" t="e">
        <f>G24+G25+G26+G27+G23+#REF!+G29+G30+G31+G33+G37+G38+G39+G40+G45+G46+#REF!+#REF!</f>
        <v>#REF!</v>
      </c>
      <c r="H21" s="326" t="e">
        <f>H24+H25+H26+H27+H23+#REF!+H29+H30+H31+H33+H37+H38+H39+H40+H45+H46+#REF!+#REF!+#REF!+#REF!+#REF!</f>
        <v>#REF!</v>
      </c>
      <c r="I21" s="326" t="e">
        <f>I24+I25+I26+I27+I23+#REF!+I29+I30+I31+I33+I37+I38+I39+I40+I45+I46+#REF!+#REF!+#REF!+#REF!+#REF!</f>
        <v>#REF!</v>
      </c>
      <c r="J21" s="326" t="e">
        <f>J24+J25+J26+J27+J23+#REF!+J29+J30+J31+J33+J37+J38+J39+J40+J45+J46+#REF!+#REF!+#REF!+#REF!+#REF!</f>
        <v>#REF!</v>
      </c>
      <c r="K21" s="353">
        <f>SUM(K22:K48)</f>
        <v>4361033</v>
      </c>
      <c r="L21" s="353">
        <f>SUM(L22:L48)</f>
        <v>4012595</v>
      </c>
      <c r="M21" s="539">
        <f t="shared" si="2"/>
        <v>0.920101957494933</v>
      </c>
      <c r="N21" s="353">
        <f aca="true" t="shared" si="9" ref="N21:T21">SUM(N22:N48)</f>
        <v>1259867</v>
      </c>
      <c r="O21" s="353">
        <f t="shared" si="9"/>
        <v>455767</v>
      </c>
      <c r="P21" s="353">
        <f t="shared" si="9"/>
        <v>60661</v>
      </c>
      <c r="Q21" s="353">
        <f t="shared" si="9"/>
        <v>15000</v>
      </c>
      <c r="R21" s="353">
        <f t="shared" si="9"/>
        <v>0</v>
      </c>
      <c r="S21" s="353">
        <f t="shared" si="9"/>
        <v>0</v>
      </c>
      <c r="T21" s="491">
        <f t="shared" si="9"/>
        <v>2752728</v>
      </c>
    </row>
    <row r="22" spans="1:20" s="167" customFormat="1" ht="22.5" customHeight="1">
      <c r="A22" s="517"/>
      <c r="B22" s="518" t="s">
        <v>62</v>
      </c>
      <c r="C22" s="129" t="s">
        <v>310</v>
      </c>
      <c r="D22" s="334"/>
      <c r="E22" s="334"/>
      <c r="F22" s="334"/>
      <c r="G22" s="334"/>
      <c r="H22" s="334"/>
      <c r="I22" s="334"/>
      <c r="J22" s="334"/>
      <c r="K22" s="358">
        <v>0</v>
      </c>
      <c r="L22" s="358">
        <v>15000</v>
      </c>
      <c r="M22" s="356">
        <v>0</v>
      </c>
      <c r="N22" s="358">
        <f>L22</f>
        <v>15000</v>
      </c>
      <c r="O22" s="358"/>
      <c r="P22" s="358"/>
      <c r="Q22" s="358">
        <f>N22</f>
        <v>15000</v>
      </c>
      <c r="R22" s="356"/>
      <c r="S22" s="356"/>
      <c r="T22" s="492"/>
    </row>
    <row r="23" spans="1:20" s="348" customFormat="1" ht="15.75" customHeight="1">
      <c r="A23" s="510"/>
      <c r="B23" s="145" t="s">
        <v>910</v>
      </c>
      <c r="C23" s="330" t="s">
        <v>733</v>
      </c>
      <c r="D23" s="165">
        <v>1296250</v>
      </c>
      <c r="E23" s="78">
        <v>4000</v>
      </c>
      <c r="F23" s="78">
        <v>0</v>
      </c>
      <c r="G23" s="78">
        <v>0</v>
      </c>
      <c r="H23" s="78">
        <v>6000</v>
      </c>
      <c r="I23" s="165">
        <v>0</v>
      </c>
      <c r="J23" s="165">
        <v>0</v>
      </c>
      <c r="K23" s="330">
        <v>2500</v>
      </c>
      <c r="L23" s="330">
        <v>2600</v>
      </c>
      <c r="M23" s="356">
        <f t="shared" si="2"/>
        <v>1.04</v>
      </c>
      <c r="N23" s="358">
        <f aca="true" t="shared" si="10" ref="N23:N44">L23</f>
        <v>2600</v>
      </c>
      <c r="O23" s="330">
        <v>0</v>
      </c>
      <c r="P23" s="354"/>
      <c r="Q23" s="355">
        <v>0</v>
      </c>
      <c r="R23" s="356"/>
      <c r="S23" s="356"/>
      <c r="T23" s="492"/>
    </row>
    <row r="24" spans="1:20" s="167" customFormat="1" ht="20.25" customHeight="1">
      <c r="A24" s="510"/>
      <c r="B24" s="145" t="s">
        <v>2</v>
      </c>
      <c r="C24" s="129" t="s">
        <v>3</v>
      </c>
      <c r="D24" s="6">
        <v>580000</v>
      </c>
      <c r="E24" s="6">
        <v>599500</v>
      </c>
      <c r="F24" s="6">
        <v>0</v>
      </c>
      <c r="G24" s="6">
        <v>0</v>
      </c>
      <c r="H24" s="6">
        <v>356415</v>
      </c>
      <c r="I24" s="6">
        <v>0</v>
      </c>
      <c r="J24" s="6">
        <v>0</v>
      </c>
      <c r="K24" s="130">
        <v>364907</v>
      </c>
      <c r="L24" s="130">
        <v>401625</v>
      </c>
      <c r="M24" s="356">
        <f t="shared" si="2"/>
        <v>1.100622898437136</v>
      </c>
      <c r="N24" s="358">
        <f t="shared" si="10"/>
        <v>401625</v>
      </c>
      <c r="O24" s="130">
        <f>N24</f>
        <v>401625</v>
      </c>
      <c r="P24" s="354"/>
      <c r="Q24" s="355">
        <v>0</v>
      </c>
      <c r="R24" s="356"/>
      <c r="S24" s="356"/>
      <c r="T24" s="492"/>
    </row>
    <row r="25" spans="1:20" s="167" customFormat="1" ht="15.75" customHeight="1">
      <c r="A25" s="510"/>
      <c r="B25" s="145" t="s">
        <v>6</v>
      </c>
      <c r="C25" s="129" t="s">
        <v>7</v>
      </c>
      <c r="D25" s="6">
        <v>37980</v>
      </c>
      <c r="E25" s="6">
        <v>46300</v>
      </c>
      <c r="F25" s="6">
        <v>0</v>
      </c>
      <c r="G25" s="6">
        <v>41</v>
      </c>
      <c r="H25" s="6">
        <v>33240</v>
      </c>
      <c r="I25" s="6">
        <v>0</v>
      </c>
      <c r="J25" s="6">
        <v>0</v>
      </c>
      <c r="K25" s="130">
        <v>26868</v>
      </c>
      <c r="L25" s="130">
        <v>29142</v>
      </c>
      <c r="M25" s="356">
        <f t="shared" si="2"/>
        <v>1.084635998213488</v>
      </c>
      <c r="N25" s="358">
        <f t="shared" si="10"/>
        <v>29142</v>
      </c>
      <c r="O25" s="130">
        <f>N25</f>
        <v>29142</v>
      </c>
      <c r="P25" s="354"/>
      <c r="Q25" s="355">
        <v>0</v>
      </c>
      <c r="R25" s="356"/>
      <c r="S25" s="356"/>
      <c r="T25" s="492"/>
    </row>
    <row r="26" spans="1:20" s="167" customFormat="1" ht="15" customHeight="1">
      <c r="A26" s="510"/>
      <c r="B26" s="519" t="s">
        <v>33</v>
      </c>
      <c r="C26" s="129" t="s">
        <v>34</v>
      </c>
      <c r="D26" s="6">
        <v>121770</v>
      </c>
      <c r="E26" s="6">
        <v>110000</v>
      </c>
      <c r="F26" s="6">
        <v>0</v>
      </c>
      <c r="G26" s="6">
        <v>1150</v>
      </c>
      <c r="H26" s="6">
        <v>73348</v>
      </c>
      <c r="I26" s="6">
        <v>0</v>
      </c>
      <c r="J26" s="6">
        <v>0</v>
      </c>
      <c r="K26" s="130">
        <v>67912</v>
      </c>
      <c r="L26" s="130">
        <v>53189</v>
      </c>
      <c r="M26" s="356">
        <f t="shared" si="2"/>
        <v>0.7832047355401107</v>
      </c>
      <c r="N26" s="358">
        <f t="shared" si="10"/>
        <v>53189</v>
      </c>
      <c r="O26" s="130">
        <v>0</v>
      </c>
      <c r="P26" s="354">
        <f>L26</f>
        <v>53189</v>
      </c>
      <c r="Q26" s="355">
        <v>0</v>
      </c>
      <c r="R26" s="356"/>
      <c r="S26" s="356"/>
      <c r="T26" s="492"/>
    </row>
    <row r="27" spans="1:20" s="167" customFormat="1" ht="14.25" customHeight="1">
      <c r="A27" s="510"/>
      <c r="B27" s="519" t="s">
        <v>8</v>
      </c>
      <c r="C27" s="129" t="s">
        <v>9</v>
      </c>
      <c r="D27" s="6"/>
      <c r="E27" s="6">
        <v>12400</v>
      </c>
      <c r="F27" s="6">
        <v>2500</v>
      </c>
      <c r="G27" s="6">
        <v>0</v>
      </c>
      <c r="H27" s="6">
        <v>10132</v>
      </c>
      <c r="I27" s="6">
        <v>0</v>
      </c>
      <c r="J27" s="6">
        <v>0</v>
      </c>
      <c r="K27" s="130">
        <v>9385</v>
      </c>
      <c r="L27" s="130">
        <v>7472</v>
      </c>
      <c r="M27" s="356">
        <f t="shared" si="2"/>
        <v>0.7961640916355887</v>
      </c>
      <c r="N27" s="358">
        <f t="shared" si="10"/>
        <v>7472</v>
      </c>
      <c r="O27" s="130">
        <v>0</v>
      </c>
      <c r="P27" s="354">
        <f>L27</f>
        <v>7472</v>
      </c>
      <c r="Q27" s="355">
        <v>0</v>
      </c>
      <c r="R27" s="356"/>
      <c r="S27" s="356"/>
      <c r="T27" s="492"/>
    </row>
    <row r="28" spans="1:20" s="167" customFormat="1" ht="12.75" customHeight="1">
      <c r="A28" s="510"/>
      <c r="B28" s="519" t="s">
        <v>735</v>
      </c>
      <c r="C28" s="129" t="s">
        <v>736</v>
      </c>
      <c r="D28" s="6"/>
      <c r="E28" s="6"/>
      <c r="F28" s="6"/>
      <c r="G28" s="6"/>
      <c r="H28" s="6"/>
      <c r="I28" s="6"/>
      <c r="J28" s="6"/>
      <c r="K28" s="130">
        <v>25000</v>
      </c>
      <c r="L28" s="130">
        <v>25000</v>
      </c>
      <c r="M28" s="356">
        <f t="shared" si="2"/>
        <v>1</v>
      </c>
      <c r="N28" s="358">
        <f t="shared" si="10"/>
        <v>25000</v>
      </c>
      <c r="O28" s="130">
        <f>N28</f>
        <v>25000</v>
      </c>
      <c r="P28" s="354"/>
      <c r="Q28" s="355">
        <v>0</v>
      </c>
      <c r="R28" s="356"/>
      <c r="S28" s="356"/>
      <c r="T28" s="492"/>
    </row>
    <row r="29" spans="1:20" s="167" customFormat="1" ht="12.75" customHeight="1">
      <c r="A29" s="510"/>
      <c r="B29" s="145" t="s">
        <v>10</v>
      </c>
      <c r="C29" s="129" t="s">
        <v>11</v>
      </c>
      <c r="D29" s="6"/>
      <c r="E29" s="14">
        <v>130378</v>
      </c>
      <c r="F29" s="14">
        <v>40000</v>
      </c>
      <c r="G29" s="14">
        <v>0</v>
      </c>
      <c r="H29" s="14">
        <v>140000</v>
      </c>
      <c r="I29" s="6">
        <v>0</v>
      </c>
      <c r="J29" s="6">
        <v>0</v>
      </c>
      <c r="K29" s="130">
        <v>243133</v>
      </c>
      <c r="L29" s="130">
        <v>250000</v>
      </c>
      <c r="M29" s="356">
        <f t="shared" si="2"/>
        <v>1.0282438007181254</v>
      </c>
      <c r="N29" s="358">
        <f t="shared" si="10"/>
        <v>250000</v>
      </c>
      <c r="O29" s="130">
        <v>0</v>
      </c>
      <c r="P29" s="354"/>
      <c r="Q29" s="355">
        <v>0</v>
      </c>
      <c r="R29" s="356"/>
      <c r="S29" s="356"/>
      <c r="T29" s="492"/>
    </row>
    <row r="30" spans="1:20" s="167" customFormat="1" ht="13.5" customHeight="1">
      <c r="A30" s="510"/>
      <c r="B30" s="145" t="s">
        <v>12</v>
      </c>
      <c r="C30" s="129" t="s">
        <v>97</v>
      </c>
      <c r="D30" s="6"/>
      <c r="E30" s="14">
        <v>33000</v>
      </c>
      <c r="F30" s="14">
        <v>5000</v>
      </c>
      <c r="G30" s="14">
        <v>0</v>
      </c>
      <c r="H30" s="14">
        <v>30000</v>
      </c>
      <c r="I30" s="6">
        <v>0</v>
      </c>
      <c r="J30" s="6">
        <v>0</v>
      </c>
      <c r="K30" s="130">
        <v>31100</v>
      </c>
      <c r="L30" s="130">
        <v>32000</v>
      </c>
      <c r="M30" s="356">
        <f t="shared" si="2"/>
        <v>1.0289389067524115</v>
      </c>
      <c r="N30" s="358">
        <f t="shared" si="10"/>
        <v>32000</v>
      </c>
      <c r="O30" s="130">
        <v>0</v>
      </c>
      <c r="P30" s="354"/>
      <c r="Q30" s="355">
        <v>0</v>
      </c>
      <c r="R30" s="356"/>
      <c r="S30" s="356"/>
      <c r="T30" s="492"/>
    </row>
    <row r="31" spans="1:20" s="167" customFormat="1" ht="13.5" customHeight="1">
      <c r="A31" s="510"/>
      <c r="B31" s="145" t="s">
        <v>14</v>
      </c>
      <c r="C31" s="129" t="s">
        <v>98</v>
      </c>
      <c r="D31" s="6"/>
      <c r="E31" s="14">
        <v>613990</v>
      </c>
      <c r="F31" s="14">
        <v>0</v>
      </c>
      <c r="G31" s="14">
        <v>500000</v>
      </c>
      <c r="H31" s="14">
        <v>7000</v>
      </c>
      <c r="I31" s="6">
        <v>0</v>
      </c>
      <c r="J31" s="6">
        <v>0</v>
      </c>
      <c r="K31" s="130">
        <v>30000</v>
      </c>
      <c r="L31" s="130">
        <v>50000</v>
      </c>
      <c r="M31" s="356">
        <f t="shared" si="2"/>
        <v>1.6666666666666667</v>
      </c>
      <c r="N31" s="358">
        <f t="shared" si="10"/>
        <v>50000</v>
      </c>
      <c r="O31" s="130">
        <v>0</v>
      </c>
      <c r="P31" s="354"/>
      <c r="Q31" s="355">
        <v>0</v>
      </c>
      <c r="R31" s="356"/>
      <c r="S31" s="356"/>
      <c r="T31" s="492"/>
    </row>
    <row r="32" spans="1:20" s="167" customFormat="1" ht="13.5" customHeight="1">
      <c r="A32" s="510"/>
      <c r="B32" s="145" t="s">
        <v>76</v>
      </c>
      <c r="C32" s="129" t="s">
        <v>77</v>
      </c>
      <c r="D32" s="6"/>
      <c r="E32" s="14"/>
      <c r="F32" s="14"/>
      <c r="G32" s="14"/>
      <c r="H32" s="14"/>
      <c r="I32" s="6"/>
      <c r="J32" s="6"/>
      <c r="K32" s="130">
        <v>440</v>
      </c>
      <c r="L32" s="130">
        <v>500</v>
      </c>
      <c r="M32" s="356">
        <f t="shared" si="2"/>
        <v>1.1363636363636365</v>
      </c>
      <c r="N32" s="358">
        <f t="shared" si="10"/>
        <v>500</v>
      </c>
      <c r="O32" s="130">
        <v>0</v>
      </c>
      <c r="P32" s="354"/>
      <c r="Q32" s="355"/>
      <c r="R32" s="356"/>
      <c r="S32" s="356"/>
      <c r="T32" s="492"/>
    </row>
    <row r="33" spans="1:20" s="167" customFormat="1" ht="14.25" customHeight="1">
      <c r="A33" s="510"/>
      <c r="B33" s="145" t="s">
        <v>16</v>
      </c>
      <c r="C33" s="129" t="s">
        <v>99</v>
      </c>
      <c r="D33" s="6"/>
      <c r="E33" s="14">
        <v>828700</v>
      </c>
      <c r="F33" s="14">
        <v>0</v>
      </c>
      <c r="G33" s="14">
        <v>142451</v>
      </c>
      <c r="H33" s="14">
        <v>412661</v>
      </c>
      <c r="I33" s="6">
        <v>0</v>
      </c>
      <c r="J33" s="6">
        <v>0</v>
      </c>
      <c r="K33" s="130">
        <v>342804</v>
      </c>
      <c r="L33" s="130">
        <v>346540</v>
      </c>
      <c r="M33" s="356">
        <f t="shared" si="2"/>
        <v>1.010898355911833</v>
      </c>
      <c r="N33" s="358">
        <f t="shared" si="10"/>
        <v>346540</v>
      </c>
      <c r="O33" s="130">
        <v>0</v>
      </c>
      <c r="P33" s="354"/>
      <c r="Q33" s="355">
        <v>0</v>
      </c>
      <c r="R33" s="356"/>
      <c r="S33" s="356"/>
      <c r="T33" s="492"/>
    </row>
    <row r="34" spans="1:20" s="167" customFormat="1" ht="14.25" customHeight="1">
      <c r="A34" s="510"/>
      <c r="B34" s="145" t="s">
        <v>737</v>
      </c>
      <c r="C34" s="129" t="s">
        <v>738</v>
      </c>
      <c r="D34" s="6"/>
      <c r="E34" s="14"/>
      <c r="F34" s="14"/>
      <c r="G34" s="14"/>
      <c r="H34" s="14"/>
      <c r="I34" s="6"/>
      <c r="J34" s="6"/>
      <c r="K34" s="130">
        <v>3700</v>
      </c>
      <c r="L34" s="130">
        <v>3700</v>
      </c>
      <c r="M34" s="356">
        <f t="shared" si="2"/>
        <v>1</v>
      </c>
      <c r="N34" s="358">
        <f t="shared" si="10"/>
        <v>3700</v>
      </c>
      <c r="O34" s="130">
        <v>0</v>
      </c>
      <c r="P34" s="354"/>
      <c r="Q34" s="355">
        <v>0</v>
      </c>
      <c r="R34" s="356"/>
      <c r="S34" s="356"/>
      <c r="T34" s="492"/>
    </row>
    <row r="35" spans="1:20" s="167" customFormat="1" ht="14.25" customHeight="1">
      <c r="A35" s="510"/>
      <c r="B35" s="145" t="s">
        <v>324</v>
      </c>
      <c r="C35" s="129" t="s">
        <v>326</v>
      </c>
      <c r="D35" s="6"/>
      <c r="E35" s="14"/>
      <c r="F35" s="14"/>
      <c r="G35" s="14"/>
      <c r="H35" s="14"/>
      <c r="I35" s="6"/>
      <c r="J35" s="6"/>
      <c r="K35" s="130">
        <v>5500</v>
      </c>
      <c r="L35" s="130">
        <v>5500</v>
      </c>
      <c r="M35" s="356">
        <f t="shared" si="2"/>
        <v>1</v>
      </c>
      <c r="N35" s="358">
        <f t="shared" si="10"/>
        <v>5500</v>
      </c>
      <c r="O35" s="130">
        <v>0</v>
      </c>
      <c r="P35" s="354"/>
      <c r="Q35" s="355"/>
      <c r="R35" s="356"/>
      <c r="S35" s="356"/>
      <c r="T35" s="492"/>
    </row>
    <row r="36" spans="1:20" s="167" customFormat="1" ht="14.25" customHeight="1">
      <c r="A36" s="510"/>
      <c r="B36" s="145" t="s">
        <v>316</v>
      </c>
      <c r="C36" s="129" t="s">
        <v>320</v>
      </c>
      <c r="D36" s="6"/>
      <c r="E36" s="14"/>
      <c r="F36" s="14"/>
      <c r="G36" s="14"/>
      <c r="H36" s="14"/>
      <c r="I36" s="6"/>
      <c r="J36" s="6"/>
      <c r="K36" s="130">
        <v>4000</v>
      </c>
      <c r="L36" s="130">
        <v>4000</v>
      </c>
      <c r="M36" s="356">
        <f t="shared" si="2"/>
        <v>1</v>
      </c>
      <c r="N36" s="358">
        <f t="shared" si="10"/>
        <v>4000</v>
      </c>
      <c r="O36" s="130">
        <v>0</v>
      </c>
      <c r="P36" s="354"/>
      <c r="Q36" s="355"/>
      <c r="R36" s="356"/>
      <c r="S36" s="356"/>
      <c r="T36" s="492"/>
    </row>
    <row r="37" spans="1:20" s="167" customFormat="1" ht="14.25" customHeight="1">
      <c r="A37" s="510"/>
      <c r="B37" s="145" t="s">
        <v>18</v>
      </c>
      <c r="C37" s="129" t="s">
        <v>19</v>
      </c>
      <c r="D37" s="6"/>
      <c r="E37" s="14">
        <v>660</v>
      </c>
      <c r="F37" s="14">
        <v>0</v>
      </c>
      <c r="G37" s="14">
        <v>300</v>
      </c>
      <c r="H37" s="14">
        <v>500</v>
      </c>
      <c r="I37" s="6">
        <v>0</v>
      </c>
      <c r="J37" s="6">
        <v>0</v>
      </c>
      <c r="K37" s="130">
        <v>1000</v>
      </c>
      <c r="L37" s="130">
        <v>1500</v>
      </c>
      <c r="M37" s="356">
        <f t="shared" si="2"/>
        <v>1.5</v>
      </c>
      <c r="N37" s="358">
        <f t="shared" si="10"/>
        <v>1500</v>
      </c>
      <c r="O37" s="130">
        <v>0</v>
      </c>
      <c r="P37" s="354"/>
      <c r="Q37" s="355">
        <v>0</v>
      </c>
      <c r="R37" s="356"/>
      <c r="S37" s="356"/>
      <c r="T37" s="492"/>
    </row>
    <row r="38" spans="1:20" s="167" customFormat="1" ht="15.75" customHeight="1">
      <c r="A38" s="510"/>
      <c r="B38" s="145" t="s">
        <v>20</v>
      </c>
      <c r="C38" s="129" t="s">
        <v>21</v>
      </c>
      <c r="D38" s="6"/>
      <c r="E38" s="14">
        <v>23000</v>
      </c>
      <c r="F38" s="14">
        <v>500</v>
      </c>
      <c r="G38" s="14">
        <v>0</v>
      </c>
      <c r="H38" s="14">
        <v>15412</v>
      </c>
      <c r="I38" s="6">
        <v>0</v>
      </c>
      <c r="J38" s="6">
        <v>0</v>
      </c>
      <c r="K38" s="130">
        <v>71</v>
      </c>
      <c r="L38" s="130">
        <v>0</v>
      </c>
      <c r="M38" s="356">
        <f t="shared" si="2"/>
        <v>0</v>
      </c>
      <c r="N38" s="358">
        <f t="shared" si="10"/>
        <v>0</v>
      </c>
      <c r="O38" s="130">
        <v>0</v>
      </c>
      <c r="P38" s="354"/>
      <c r="Q38" s="355">
        <v>0</v>
      </c>
      <c r="R38" s="356"/>
      <c r="S38" s="356"/>
      <c r="T38" s="492"/>
    </row>
    <row r="39" spans="1:20" s="167" customFormat="1" ht="13.5" customHeight="1">
      <c r="A39" s="510"/>
      <c r="B39" s="145" t="s">
        <v>22</v>
      </c>
      <c r="C39" s="129" t="s">
        <v>23</v>
      </c>
      <c r="D39" s="6"/>
      <c r="E39" s="14">
        <v>14893</v>
      </c>
      <c r="F39" s="14">
        <v>0</v>
      </c>
      <c r="G39" s="14">
        <v>0</v>
      </c>
      <c r="H39" s="14">
        <v>13388</v>
      </c>
      <c r="I39" s="6">
        <v>0</v>
      </c>
      <c r="J39" s="6">
        <v>0</v>
      </c>
      <c r="K39" s="130">
        <v>9935</v>
      </c>
      <c r="L39" s="130">
        <v>9970</v>
      </c>
      <c r="M39" s="356">
        <f t="shared" si="2"/>
        <v>1.003522898842476</v>
      </c>
      <c r="N39" s="358">
        <f t="shared" si="10"/>
        <v>9970</v>
      </c>
      <c r="O39" s="130">
        <v>0</v>
      </c>
      <c r="P39" s="354"/>
      <c r="Q39" s="355">
        <v>0</v>
      </c>
      <c r="R39" s="356"/>
      <c r="S39" s="356"/>
      <c r="T39" s="492"/>
    </row>
    <row r="40" spans="1:20" s="167" customFormat="1" ht="16.5" customHeight="1">
      <c r="A40" s="510"/>
      <c r="B40" s="145" t="s">
        <v>38</v>
      </c>
      <c r="C40" s="129" t="s">
        <v>39</v>
      </c>
      <c r="D40" s="6"/>
      <c r="E40" s="14">
        <v>8147</v>
      </c>
      <c r="F40" s="14">
        <v>0</v>
      </c>
      <c r="G40" s="14">
        <v>0</v>
      </c>
      <c r="H40" s="14">
        <v>7500</v>
      </c>
      <c r="I40" s="6">
        <v>0</v>
      </c>
      <c r="J40" s="6">
        <v>0</v>
      </c>
      <c r="K40" s="130">
        <v>9222</v>
      </c>
      <c r="L40" s="130">
        <v>9500</v>
      </c>
      <c r="M40" s="356">
        <f t="shared" si="2"/>
        <v>1.0301453047061375</v>
      </c>
      <c r="N40" s="358">
        <f t="shared" si="10"/>
        <v>9500</v>
      </c>
      <c r="O40" s="130">
        <v>0</v>
      </c>
      <c r="P40" s="354"/>
      <c r="Q40" s="355">
        <v>0</v>
      </c>
      <c r="R40" s="356"/>
      <c r="S40" s="356"/>
      <c r="T40" s="492"/>
    </row>
    <row r="41" spans="1:20" s="167" customFormat="1" ht="16.5" customHeight="1">
      <c r="A41" s="510"/>
      <c r="B41" s="145" t="s">
        <v>331</v>
      </c>
      <c r="C41" s="129" t="s">
        <v>332</v>
      </c>
      <c r="D41" s="6"/>
      <c r="E41" s="14"/>
      <c r="F41" s="14"/>
      <c r="G41" s="14"/>
      <c r="H41" s="14"/>
      <c r="I41" s="6"/>
      <c r="J41" s="6"/>
      <c r="K41" s="130">
        <v>829</v>
      </c>
      <c r="L41" s="130">
        <v>829</v>
      </c>
      <c r="M41" s="356">
        <f t="shared" si="2"/>
        <v>1</v>
      </c>
      <c r="N41" s="358">
        <f t="shared" si="10"/>
        <v>829</v>
      </c>
      <c r="O41" s="130">
        <v>0</v>
      </c>
      <c r="P41" s="354"/>
      <c r="Q41" s="355"/>
      <c r="R41" s="356"/>
      <c r="S41" s="356"/>
      <c r="T41" s="492"/>
    </row>
    <row r="42" spans="1:20" s="167" customFormat="1" ht="21" customHeight="1">
      <c r="A42" s="510"/>
      <c r="B42" s="145" t="s">
        <v>317</v>
      </c>
      <c r="C42" s="129" t="s">
        <v>321</v>
      </c>
      <c r="D42" s="6"/>
      <c r="E42" s="14"/>
      <c r="F42" s="14"/>
      <c r="G42" s="14"/>
      <c r="H42" s="14"/>
      <c r="I42" s="6"/>
      <c r="J42" s="6"/>
      <c r="K42" s="130">
        <v>3500</v>
      </c>
      <c r="L42" s="130">
        <v>3600</v>
      </c>
      <c r="M42" s="356">
        <f t="shared" si="2"/>
        <v>1.0285714285714285</v>
      </c>
      <c r="N42" s="358">
        <f t="shared" si="10"/>
        <v>3600</v>
      </c>
      <c r="O42" s="130">
        <v>0</v>
      </c>
      <c r="P42" s="354"/>
      <c r="Q42" s="355"/>
      <c r="R42" s="356"/>
      <c r="S42" s="356"/>
      <c r="T42" s="492"/>
    </row>
    <row r="43" spans="1:20" s="167" customFormat="1" ht="16.5" customHeight="1">
      <c r="A43" s="510"/>
      <c r="B43" s="145" t="s">
        <v>318</v>
      </c>
      <c r="C43" s="129" t="s">
        <v>322</v>
      </c>
      <c r="D43" s="6"/>
      <c r="E43" s="14"/>
      <c r="F43" s="14"/>
      <c r="G43" s="14"/>
      <c r="H43" s="14"/>
      <c r="I43" s="6"/>
      <c r="J43" s="6"/>
      <c r="K43" s="130">
        <v>1000</v>
      </c>
      <c r="L43" s="130">
        <v>1200</v>
      </c>
      <c r="M43" s="356">
        <f t="shared" si="2"/>
        <v>1.2</v>
      </c>
      <c r="N43" s="358">
        <f t="shared" si="10"/>
        <v>1200</v>
      </c>
      <c r="O43" s="130">
        <v>0</v>
      </c>
      <c r="P43" s="354"/>
      <c r="Q43" s="355"/>
      <c r="R43" s="356"/>
      <c r="S43" s="356"/>
      <c r="T43" s="492"/>
    </row>
    <row r="44" spans="1:20" s="167" customFormat="1" ht="16.5" customHeight="1">
      <c r="A44" s="510"/>
      <c r="B44" s="145" t="s">
        <v>319</v>
      </c>
      <c r="C44" s="129" t="s">
        <v>323</v>
      </c>
      <c r="D44" s="6"/>
      <c r="E44" s="14"/>
      <c r="F44" s="14"/>
      <c r="G44" s="14"/>
      <c r="H44" s="14"/>
      <c r="I44" s="6"/>
      <c r="J44" s="6"/>
      <c r="K44" s="130">
        <v>6600</v>
      </c>
      <c r="L44" s="130">
        <v>7000</v>
      </c>
      <c r="M44" s="356">
        <f t="shared" si="2"/>
        <v>1.0606060606060606</v>
      </c>
      <c r="N44" s="358">
        <f t="shared" si="10"/>
        <v>7000</v>
      </c>
      <c r="O44" s="130">
        <v>0</v>
      </c>
      <c r="P44" s="354"/>
      <c r="Q44" s="355"/>
      <c r="R44" s="356"/>
      <c r="S44" s="356"/>
      <c r="T44" s="492"/>
    </row>
    <row r="45" spans="1:20" s="167" customFormat="1" ht="12.75" customHeight="1">
      <c r="A45" s="510"/>
      <c r="B45" s="145" t="s">
        <v>40</v>
      </c>
      <c r="C45" s="129" t="s">
        <v>41</v>
      </c>
      <c r="D45" s="6"/>
      <c r="E45" s="14">
        <v>132020</v>
      </c>
      <c r="F45" s="14">
        <v>700000</v>
      </c>
      <c r="G45" s="14">
        <v>0</v>
      </c>
      <c r="H45" s="14">
        <v>2525825</v>
      </c>
      <c r="I45" s="6">
        <v>0</v>
      </c>
      <c r="J45" s="6">
        <v>0</v>
      </c>
      <c r="K45" s="130">
        <v>165302</v>
      </c>
      <c r="L45" s="130">
        <v>520000</v>
      </c>
      <c r="M45" s="356">
        <f t="shared" si="2"/>
        <v>3.145757462099672</v>
      </c>
      <c r="N45" s="130"/>
      <c r="O45" s="130">
        <v>0</v>
      </c>
      <c r="P45" s="354"/>
      <c r="Q45" s="355">
        <v>0</v>
      </c>
      <c r="R45" s="356"/>
      <c r="S45" s="356"/>
      <c r="T45" s="494">
        <f>L45</f>
        <v>520000</v>
      </c>
    </row>
    <row r="46" spans="1:20" s="167" customFormat="1" ht="14.25" customHeight="1">
      <c r="A46" s="510"/>
      <c r="B46" s="145" t="s">
        <v>42</v>
      </c>
      <c r="C46" s="129" t="s">
        <v>857</v>
      </c>
      <c r="D46" s="6">
        <v>0</v>
      </c>
      <c r="E46" s="14">
        <v>60000</v>
      </c>
      <c r="F46" s="14">
        <v>0</v>
      </c>
      <c r="G46" s="14">
        <v>3758</v>
      </c>
      <c r="H46" s="14"/>
      <c r="I46" s="6">
        <v>0</v>
      </c>
      <c r="J46" s="6">
        <v>0</v>
      </c>
      <c r="K46" s="130">
        <v>26000</v>
      </c>
      <c r="L46" s="130">
        <v>0</v>
      </c>
      <c r="M46" s="356">
        <f t="shared" si="2"/>
        <v>0</v>
      </c>
      <c r="N46" s="130"/>
      <c r="O46" s="130">
        <v>0</v>
      </c>
      <c r="P46" s="354"/>
      <c r="Q46" s="355">
        <v>0</v>
      </c>
      <c r="R46" s="356"/>
      <c r="S46" s="356"/>
      <c r="T46" s="494">
        <f>L46</f>
        <v>0</v>
      </c>
    </row>
    <row r="47" spans="1:20" s="167" customFormat="1" ht="15" customHeight="1">
      <c r="A47" s="510"/>
      <c r="B47" s="145" t="s">
        <v>374</v>
      </c>
      <c r="C47" s="129" t="s">
        <v>452</v>
      </c>
      <c r="D47" s="6"/>
      <c r="E47" s="14"/>
      <c r="F47" s="14"/>
      <c r="G47" s="14"/>
      <c r="H47" s="14"/>
      <c r="I47" s="6"/>
      <c r="J47" s="6"/>
      <c r="K47" s="130">
        <v>1988005</v>
      </c>
      <c r="L47" s="130">
        <v>1674546</v>
      </c>
      <c r="M47" s="356">
        <f t="shared" si="2"/>
        <v>0.8423248432473761</v>
      </c>
      <c r="N47" s="130"/>
      <c r="O47" s="130">
        <v>0</v>
      </c>
      <c r="P47" s="354"/>
      <c r="Q47" s="355">
        <v>0</v>
      </c>
      <c r="R47" s="356"/>
      <c r="S47" s="356"/>
      <c r="T47" s="494">
        <f>L47</f>
        <v>1674546</v>
      </c>
    </row>
    <row r="48" spans="1:20" s="167" customFormat="1" ht="18.75" customHeight="1">
      <c r="A48" s="510"/>
      <c r="B48" s="145" t="s">
        <v>546</v>
      </c>
      <c r="C48" s="129" t="s">
        <v>452</v>
      </c>
      <c r="D48" s="6"/>
      <c r="E48" s="14"/>
      <c r="F48" s="14"/>
      <c r="G48" s="14"/>
      <c r="H48" s="14"/>
      <c r="I48" s="6"/>
      <c r="J48" s="6"/>
      <c r="K48" s="130">
        <v>992320</v>
      </c>
      <c r="L48" s="130">
        <v>558182</v>
      </c>
      <c r="M48" s="356">
        <f t="shared" si="2"/>
        <v>0.5625020154788778</v>
      </c>
      <c r="N48" s="130"/>
      <c r="O48" s="130">
        <v>0</v>
      </c>
      <c r="P48" s="354"/>
      <c r="Q48" s="355">
        <v>0</v>
      </c>
      <c r="R48" s="356"/>
      <c r="S48" s="356"/>
      <c r="T48" s="494">
        <f>L48</f>
        <v>558182</v>
      </c>
    </row>
    <row r="49" spans="1:20" s="167" customFormat="1" ht="41.25" customHeight="1">
      <c r="A49" s="511" t="s">
        <v>43</v>
      </c>
      <c r="B49" s="520"/>
      <c r="C49" s="215" t="s">
        <v>44</v>
      </c>
      <c r="D49" s="201">
        <f aca="true" t="shared" si="11" ref="D49:L49">D50</f>
        <v>15000</v>
      </c>
      <c r="E49" s="201">
        <f t="shared" si="11"/>
        <v>37000</v>
      </c>
      <c r="F49" s="201">
        <f t="shared" si="11"/>
        <v>3693</v>
      </c>
      <c r="G49" s="201">
        <f t="shared" si="11"/>
        <v>3693</v>
      </c>
      <c r="H49" s="201" t="e">
        <f t="shared" si="11"/>
        <v>#REF!</v>
      </c>
      <c r="I49" s="201" t="e">
        <f t="shared" si="11"/>
        <v>#REF!</v>
      </c>
      <c r="J49" s="201" t="e">
        <f t="shared" si="11"/>
        <v>#REF!</v>
      </c>
      <c r="K49" s="357">
        <f t="shared" si="11"/>
        <v>766820</v>
      </c>
      <c r="L49" s="357">
        <f t="shared" si="11"/>
        <v>170000</v>
      </c>
      <c r="M49" s="473">
        <f t="shared" si="2"/>
        <v>0.22169479147648732</v>
      </c>
      <c r="N49" s="357">
        <f aca="true" t="shared" si="12" ref="N49:T49">N50</f>
        <v>170000</v>
      </c>
      <c r="O49" s="357">
        <f t="shared" si="12"/>
        <v>0</v>
      </c>
      <c r="P49" s="357">
        <f t="shared" si="12"/>
        <v>0</v>
      </c>
      <c r="Q49" s="357">
        <f t="shared" si="12"/>
        <v>0</v>
      </c>
      <c r="R49" s="357">
        <f t="shared" si="12"/>
        <v>0</v>
      </c>
      <c r="S49" s="357">
        <f t="shared" si="12"/>
        <v>0</v>
      </c>
      <c r="T49" s="493">
        <f t="shared" si="12"/>
        <v>0</v>
      </c>
    </row>
    <row r="50" spans="1:20" s="167" customFormat="1" ht="24" customHeight="1">
      <c r="A50" s="521" t="s">
        <v>45</v>
      </c>
      <c r="B50" s="514"/>
      <c r="C50" s="333" t="s">
        <v>46</v>
      </c>
      <c r="D50" s="326">
        <f>D52</f>
        <v>15000</v>
      </c>
      <c r="E50" s="326">
        <f>E52+E51</f>
        <v>37000</v>
      </c>
      <c r="F50" s="326">
        <f>F52+F51</f>
        <v>3693</v>
      </c>
      <c r="G50" s="326">
        <f>G52+G51</f>
        <v>3693</v>
      </c>
      <c r="H50" s="326" t="e">
        <f>H51+H52+H53+H55+H56+#REF!+H54</f>
        <v>#REF!</v>
      </c>
      <c r="I50" s="326" t="e">
        <f>I51+I52+I53+I55+I56+#REF!+I54</f>
        <v>#REF!</v>
      </c>
      <c r="J50" s="326" t="e">
        <f>J51+J52+J53+J55+J56+#REF!+J54</f>
        <v>#REF!</v>
      </c>
      <c r="K50" s="353">
        <f>SUM(K51:K58)</f>
        <v>766820</v>
      </c>
      <c r="L50" s="353">
        <f>SUM(L51:L58)</f>
        <v>170000</v>
      </c>
      <c r="M50" s="539">
        <f t="shared" si="2"/>
        <v>0.22169479147648732</v>
      </c>
      <c r="N50" s="353">
        <f>SUM(N51:N57)</f>
        <v>170000</v>
      </c>
      <c r="O50" s="353">
        <f aca="true" t="shared" si="13" ref="O50:T50">SUM(O51:O58)</f>
        <v>0</v>
      </c>
      <c r="P50" s="353">
        <f t="shared" si="13"/>
        <v>0</v>
      </c>
      <c r="Q50" s="353">
        <f t="shared" si="13"/>
        <v>0</v>
      </c>
      <c r="R50" s="353">
        <f t="shared" si="13"/>
        <v>0</v>
      </c>
      <c r="S50" s="353">
        <f t="shared" si="13"/>
        <v>0</v>
      </c>
      <c r="T50" s="491">
        <f t="shared" si="13"/>
        <v>0</v>
      </c>
    </row>
    <row r="51" spans="1:20" s="167" customFormat="1" ht="16.5" customHeight="1">
      <c r="A51" s="516"/>
      <c r="B51" s="145" t="s">
        <v>12</v>
      </c>
      <c r="C51" s="129" t="s">
        <v>97</v>
      </c>
      <c r="D51" s="14"/>
      <c r="E51" s="14">
        <v>20000</v>
      </c>
      <c r="F51" s="14">
        <v>3693</v>
      </c>
      <c r="G51" s="14">
        <v>0</v>
      </c>
      <c r="H51" s="14">
        <v>10601</v>
      </c>
      <c r="I51" s="14">
        <v>0</v>
      </c>
      <c r="J51" s="14">
        <v>0</v>
      </c>
      <c r="K51" s="130">
        <v>3930</v>
      </c>
      <c r="L51" s="130">
        <v>4000</v>
      </c>
      <c r="M51" s="356">
        <f t="shared" si="2"/>
        <v>1.0178117048346056</v>
      </c>
      <c r="N51" s="130">
        <f>L51</f>
        <v>4000</v>
      </c>
      <c r="O51" s="130"/>
      <c r="P51" s="130"/>
      <c r="Q51" s="355">
        <v>0</v>
      </c>
      <c r="R51" s="356"/>
      <c r="S51" s="356"/>
      <c r="T51" s="494"/>
    </row>
    <row r="52" spans="1:20" s="167" customFormat="1" ht="17.25" customHeight="1">
      <c r="A52" s="515"/>
      <c r="B52" s="145" t="s">
        <v>16</v>
      </c>
      <c r="C52" s="129" t="s">
        <v>99</v>
      </c>
      <c r="D52" s="6">
        <v>15000</v>
      </c>
      <c r="E52" s="14">
        <v>17000</v>
      </c>
      <c r="F52" s="14">
        <v>0</v>
      </c>
      <c r="G52" s="14">
        <v>3693</v>
      </c>
      <c r="H52" s="14">
        <v>65521</v>
      </c>
      <c r="I52" s="14">
        <v>0</v>
      </c>
      <c r="J52" s="14">
        <v>0</v>
      </c>
      <c r="K52" s="130">
        <v>62710</v>
      </c>
      <c r="L52" s="130">
        <v>87300</v>
      </c>
      <c r="M52" s="356">
        <f t="shared" si="2"/>
        <v>1.3921224685058204</v>
      </c>
      <c r="N52" s="130">
        <f aca="true" t="shared" si="14" ref="N52:N58">L52</f>
        <v>87300</v>
      </c>
      <c r="O52" s="130"/>
      <c r="P52" s="130"/>
      <c r="Q52" s="355">
        <v>0</v>
      </c>
      <c r="R52" s="356"/>
      <c r="S52" s="356"/>
      <c r="T52" s="494"/>
    </row>
    <row r="53" spans="1:20" s="167" customFormat="1" ht="17.25" customHeight="1">
      <c r="A53" s="515"/>
      <c r="B53" s="145" t="s">
        <v>20</v>
      </c>
      <c r="C53" s="129" t="s">
        <v>21</v>
      </c>
      <c r="D53" s="6"/>
      <c r="E53" s="14"/>
      <c r="F53" s="14"/>
      <c r="G53" s="14"/>
      <c r="H53" s="14">
        <v>1357</v>
      </c>
      <c r="I53" s="14">
        <v>0</v>
      </c>
      <c r="J53" s="14">
        <v>0</v>
      </c>
      <c r="K53" s="130">
        <v>60000</v>
      </c>
      <c r="L53" s="130">
        <v>60000</v>
      </c>
      <c r="M53" s="356">
        <f t="shared" si="2"/>
        <v>1</v>
      </c>
      <c r="N53" s="130">
        <f t="shared" si="14"/>
        <v>60000</v>
      </c>
      <c r="O53" s="130"/>
      <c r="P53" s="130"/>
      <c r="Q53" s="355">
        <v>0</v>
      </c>
      <c r="R53" s="356"/>
      <c r="S53" s="356"/>
      <c r="T53" s="494"/>
    </row>
    <row r="54" spans="1:20" s="167" customFormat="1" ht="17.25" customHeight="1">
      <c r="A54" s="515"/>
      <c r="B54" s="145" t="s">
        <v>38</v>
      </c>
      <c r="C54" s="129" t="s">
        <v>39</v>
      </c>
      <c r="D54" s="6"/>
      <c r="E54" s="14"/>
      <c r="F54" s="14"/>
      <c r="G54" s="14"/>
      <c r="H54" s="14">
        <v>55</v>
      </c>
      <c r="I54" s="14">
        <v>0</v>
      </c>
      <c r="J54" s="14">
        <v>0</v>
      </c>
      <c r="K54" s="130">
        <v>2936</v>
      </c>
      <c r="L54" s="130">
        <v>3700</v>
      </c>
      <c r="M54" s="356">
        <f t="shared" si="2"/>
        <v>1.2602179836512262</v>
      </c>
      <c r="N54" s="130">
        <f t="shared" si="14"/>
        <v>3700</v>
      </c>
      <c r="O54" s="130"/>
      <c r="P54" s="130"/>
      <c r="Q54" s="355"/>
      <c r="R54" s="356"/>
      <c r="S54" s="356"/>
      <c r="T54" s="494"/>
    </row>
    <row r="55" spans="1:20" s="167" customFormat="1" ht="17.25" customHeight="1">
      <c r="A55" s="515"/>
      <c r="B55" s="145" t="s">
        <v>75</v>
      </c>
      <c r="C55" s="129" t="s">
        <v>86</v>
      </c>
      <c r="D55" s="6"/>
      <c r="E55" s="14"/>
      <c r="F55" s="14"/>
      <c r="G55" s="14"/>
      <c r="H55" s="14">
        <v>213</v>
      </c>
      <c r="I55" s="14">
        <v>0</v>
      </c>
      <c r="J55" s="14">
        <v>0</v>
      </c>
      <c r="K55" s="130">
        <v>4099</v>
      </c>
      <c r="L55" s="130">
        <v>5000</v>
      </c>
      <c r="M55" s="356">
        <f t="shared" si="2"/>
        <v>1.2198097096852891</v>
      </c>
      <c r="N55" s="130">
        <f t="shared" si="14"/>
        <v>5000</v>
      </c>
      <c r="O55" s="130"/>
      <c r="P55" s="130"/>
      <c r="Q55" s="355">
        <v>0</v>
      </c>
      <c r="R55" s="356"/>
      <c r="S55" s="356"/>
      <c r="T55" s="494"/>
    </row>
    <row r="56" spans="1:20" s="167" customFormat="1" ht="17.25" customHeight="1">
      <c r="A56" s="515"/>
      <c r="B56" s="145" t="s">
        <v>102</v>
      </c>
      <c r="C56" s="129" t="s">
        <v>542</v>
      </c>
      <c r="D56" s="6"/>
      <c r="E56" s="14"/>
      <c r="F56" s="14"/>
      <c r="G56" s="14"/>
      <c r="H56" s="14">
        <v>6787</v>
      </c>
      <c r="I56" s="14">
        <v>0</v>
      </c>
      <c r="J56" s="14">
        <v>0</v>
      </c>
      <c r="K56" s="130">
        <v>16930</v>
      </c>
      <c r="L56" s="130">
        <v>10000</v>
      </c>
      <c r="M56" s="356">
        <f t="shared" si="2"/>
        <v>0.5906674542232723</v>
      </c>
      <c r="N56" s="130">
        <f t="shared" si="14"/>
        <v>10000</v>
      </c>
      <c r="O56" s="130"/>
      <c r="P56" s="130"/>
      <c r="Q56" s="355">
        <v>0</v>
      </c>
      <c r="R56" s="356"/>
      <c r="S56" s="356"/>
      <c r="T56" s="494"/>
    </row>
    <row r="57" spans="1:20" s="167" customFormat="1" ht="18.75" customHeight="1">
      <c r="A57" s="515"/>
      <c r="B57" s="145" t="s">
        <v>278</v>
      </c>
      <c r="C57" s="129" t="s">
        <v>373</v>
      </c>
      <c r="D57" s="6"/>
      <c r="E57" s="14"/>
      <c r="F57" s="14"/>
      <c r="G57" s="14"/>
      <c r="H57" s="14"/>
      <c r="I57" s="14"/>
      <c r="J57" s="14"/>
      <c r="K57" s="130">
        <v>1168</v>
      </c>
      <c r="L57" s="130">
        <v>0</v>
      </c>
      <c r="M57" s="356">
        <f t="shared" si="2"/>
        <v>0</v>
      </c>
      <c r="N57" s="130">
        <f t="shared" si="14"/>
        <v>0</v>
      </c>
      <c r="O57" s="130"/>
      <c r="P57" s="130"/>
      <c r="Q57" s="355"/>
      <c r="R57" s="356"/>
      <c r="S57" s="356"/>
      <c r="T57" s="494"/>
    </row>
    <row r="58" spans="1:20" s="167" customFormat="1" ht="18.75" customHeight="1">
      <c r="A58" s="515"/>
      <c r="B58" s="145" t="s">
        <v>40</v>
      </c>
      <c r="C58" s="129" t="s">
        <v>41</v>
      </c>
      <c r="D58" s="6"/>
      <c r="E58" s="14"/>
      <c r="F58" s="14"/>
      <c r="G58" s="14"/>
      <c r="H58" s="14"/>
      <c r="I58" s="14"/>
      <c r="J58" s="14"/>
      <c r="K58" s="130">
        <v>615047</v>
      </c>
      <c r="L58" s="130">
        <v>0</v>
      </c>
      <c r="M58" s="356">
        <f t="shared" si="2"/>
        <v>0</v>
      </c>
      <c r="N58" s="130">
        <f t="shared" si="14"/>
        <v>0</v>
      </c>
      <c r="O58" s="130"/>
      <c r="P58" s="130"/>
      <c r="Q58" s="355"/>
      <c r="R58" s="356"/>
      <c r="S58" s="356"/>
      <c r="T58" s="494">
        <f>L58</f>
        <v>0</v>
      </c>
    </row>
    <row r="59" spans="1:20" s="167" customFormat="1" ht="30" customHeight="1">
      <c r="A59" s="511" t="s">
        <v>48</v>
      </c>
      <c r="B59" s="522"/>
      <c r="C59" s="215" t="s">
        <v>49</v>
      </c>
      <c r="D59" s="201" t="e">
        <f aca="true" t="shared" si="15" ref="D59:L59">D60+D62+D64</f>
        <v>#REF!</v>
      </c>
      <c r="E59" s="201" t="e">
        <f t="shared" si="15"/>
        <v>#REF!</v>
      </c>
      <c r="F59" s="201" t="e">
        <f t="shared" si="15"/>
        <v>#REF!</v>
      </c>
      <c r="G59" s="201" t="e">
        <f t="shared" si="15"/>
        <v>#REF!</v>
      </c>
      <c r="H59" s="201" t="e">
        <f t="shared" si="15"/>
        <v>#REF!</v>
      </c>
      <c r="I59" s="201" t="e">
        <f t="shared" si="15"/>
        <v>#REF!</v>
      </c>
      <c r="J59" s="201" t="e">
        <f t="shared" si="15"/>
        <v>#REF!</v>
      </c>
      <c r="K59" s="357">
        <f t="shared" si="15"/>
        <v>266278</v>
      </c>
      <c r="L59" s="357">
        <f t="shared" si="15"/>
        <v>238056</v>
      </c>
      <c r="M59" s="473">
        <f t="shared" si="2"/>
        <v>0.8940130239824544</v>
      </c>
      <c r="N59" s="357">
        <f aca="true" t="shared" si="16" ref="N59:T59">N60+N62+N64</f>
        <v>238056</v>
      </c>
      <c r="O59" s="357">
        <f t="shared" si="16"/>
        <v>133350</v>
      </c>
      <c r="P59" s="357">
        <f t="shared" si="16"/>
        <v>27350</v>
      </c>
      <c r="Q59" s="357">
        <f t="shared" si="16"/>
        <v>0</v>
      </c>
      <c r="R59" s="357">
        <f t="shared" si="16"/>
        <v>0</v>
      </c>
      <c r="S59" s="357">
        <f t="shared" si="16"/>
        <v>0</v>
      </c>
      <c r="T59" s="493">
        <f t="shared" si="16"/>
        <v>0</v>
      </c>
    </row>
    <row r="60" spans="1:20" s="167" customFormat="1" ht="24.75" customHeight="1">
      <c r="A60" s="513" t="s">
        <v>50</v>
      </c>
      <c r="B60" s="509"/>
      <c r="C60" s="327" t="s">
        <v>51</v>
      </c>
      <c r="D60" s="326">
        <f aca="true" t="shared" si="17" ref="D60:L60">D61</f>
        <v>79900</v>
      </c>
      <c r="E60" s="326">
        <f t="shared" si="17"/>
        <v>52100</v>
      </c>
      <c r="F60" s="326">
        <f t="shared" si="17"/>
        <v>0</v>
      </c>
      <c r="G60" s="326">
        <f t="shared" si="17"/>
        <v>0</v>
      </c>
      <c r="H60" s="326">
        <f t="shared" si="17"/>
        <v>52000</v>
      </c>
      <c r="I60" s="326">
        <f t="shared" si="17"/>
        <v>0</v>
      </c>
      <c r="J60" s="326">
        <f t="shared" si="17"/>
        <v>0</v>
      </c>
      <c r="K60" s="353">
        <f t="shared" si="17"/>
        <v>40000</v>
      </c>
      <c r="L60" s="353">
        <f t="shared" si="17"/>
        <v>40000</v>
      </c>
      <c r="M60" s="539">
        <f t="shared" si="2"/>
        <v>1</v>
      </c>
      <c r="N60" s="353">
        <f aca="true" t="shared" si="18" ref="N60:T60">N61</f>
        <v>40000</v>
      </c>
      <c r="O60" s="353">
        <f t="shared" si="18"/>
        <v>0</v>
      </c>
      <c r="P60" s="353">
        <f t="shared" si="18"/>
        <v>0</v>
      </c>
      <c r="Q60" s="353">
        <f t="shared" si="18"/>
        <v>0</v>
      </c>
      <c r="R60" s="353">
        <f t="shared" si="18"/>
        <v>0</v>
      </c>
      <c r="S60" s="353">
        <f t="shared" si="18"/>
        <v>0</v>
      </c>
      <c r="T60" s="491">
        <f t="shared" si="18"/>
        <v>0</v>
      </c>
    </row>
    <row r="61" spans="1:20" s="167" customFormat="1" ht="16.5" customHeight="1">
      <c r="A61" s="515"/>
      <c r="B61" s="145" t="s">
        <v>16</v>
      </c>
      <c r="C61" s="129" t="s">
        <v>99</v>
      </c>
      <c r="D61" s="6">
        <v>79900</v>
      </c>
      <c r="E61" s="14">
        <v>52100</v>
      </c>
      <c r="F61" s="14">
        <v>0</v>
      </c>
      <c r="G61" s="14">
        <v>0</v>
      </c>
      <c r="H61" s="14">
        <v>52000</v>
      </c>
      <c r="I61" s="14">
        <v>0</v>
      </c>
      <c r="J61" s="14">
        <v>0</v>
      </c>
      <c r="K61" s="130">
        <v>40000</v>
      </c>
      <c r="L61" s="130">
        <v>40000</v>
      </c>
      <c r="M61" s="356">
        <f t="shared" si="2"/>
        <v>1</v>
      </c>
      <c r="N61" s="130">
        <f>L61</f>
        <v>40000</v>
      </c>
      <c r="O61" s="130"/>
      <c r="P61" s="354">
        <v>0</v>
      </c>
      <c r="Q61" s="354">
        <v>0</v>
      </c>
      <c r="R61" s="356"/>
      <c r="S61" s="356"/>
      <c r="T61" s="494"/>
    </row>
    <row r="62" spans="1:20" s="167" customFormat="1" ht="25.5" customHeight="1">
      <c r="A62" s="513" t="s">
        <v>52</v>
      </c>
      <c r="B62" s="509"/>
      <c r="C62" s="327" t="s">
        <v>889</v>
      </c>
      <c r="D62" s="326">
        <f aca="true" t="shared" si="19" ref="D62:L62">D63</f>
        <v>20000</v>
      </c>
      <c r="E62" s="326">
        <f t="shared" si="19"/>
        <v>8000</v>
      </c>
      <c r="F62" s="326">
        <f t="shared" si="19"/>
        <v>0</v>
      </c>
      <c r="G62" s="326">
        <f t="shared" si="19"/>
        <v>0</v>
      </c>
      <c r="H62" s="326">
        <f t="shared" si="19"/>
        <v>4000</v>
      </c>
      <c r="I62" s="326">
        <f t="shared" si="19"/>
        <v>0</v>
      </c>
      <c r="J62" s="326">
        <f t="shared" si="19"/>
        <v>0</v>
      </c>
      <c r="K62" s="353">
        <f t="shared" si="19"/>
        <v>25000</v>
      </c>
      <c r="L62" s="353">
        <f t="shared" si="19"/>
        <v>18000</v>
      </c>
      <c r="M62" s="539">
        <f t="shared" si="2"/>
        <v>0.72</v>
      </c>
      <c r="N62" s="353">
        <f aca="true" t="shared" si="20" ref="N62:T62">N63</f>
        <v>18000</v>
      </c>
      <c r="O62" s="353">
        <f t="shared" si="20"/>
        <v>0</v>
      </c>
      <c r="P62" s="353">
        <f t="shared" si="20"/>
        <v>0</v>
      </c>
      <c r="Q62" s="353">
        <f t="shared" si="20"/>
        <v>0</v>
      </c>
      <c r="R62" s="353">
        <f t="shared" si="20"/>
        <v>0</v>
      </c>
      <c r="S62" s="353">
        <f t="shared" si="20"/>
        <v>0</v>
      </c>
      <c r="T62" s="491">
        <f t="shared" si="20"/>
        <v>0</v>
      </c>
    </row>
    <row r="63" spans="1:20" s="167" customFormat="1" ht="16.5" customHeight="1">
      <c r="A63" s="515"/>
      <c r="B63" s="145" t="s">
        <v>16</v>
      </c>
      <c r="C63" s="129" t="s">
        <v>99</v>
      </c>
      <c r="D63" s="6">
        <v>20000</v>
      </c>
      <c r="E63" s="14">
        <v>8000</v>
      </c>
      <c r="F63" s="14">
        <v>0</v>
      </c>
      <c r="G63" s="14">
        <v>0</v>
      </c>
      <c r="H63" s="14">
        <v>4000</v>
      </c>
      <c r="I63" s="14">
        <v>0</v>
      </c>
      <c r="J63" s="14">
        <v>0</v>
      </c>
      <c r="K63" s="130">
        <v>25000</v>
      </c>
      <c r="L63" s="130">
        <v>18000</v>
      </c>
      <c r="M63" s="356">
        <f t="shared" si="2"/>
        <v>0.72</v>
      </c>
      <c r="N63" s="130">
        <f>L63</f>
        <v>18000</v>
      </c>
      <c r="O63" s="130"/>
      <c r="P63" s="354">
        <v>0</v>
      </c>
      <c r="Q63" s="355">
        <v>0</v>
      </c>
      <c r="R63" s="356"/>
      <c r="S63" s="356"/>
      <c r="T63" s="492"/>
    </row>
    <row r="64" spans="1:20" s="167" customFormat="1" ht="15.75" customHeight="1">
      <c r="A64" s="513" t="s">
        <v>54</v>
      </c>
      <c r="B64" s="509"/>
      <c r="C64" s="327" t="s">
        <v>55</v>
      </c>
      <c r="D64" s="326" t="e">
        <f>D65+D67+D68+#REF!</f>
        <v>#REF!</v>
      </c>
      <c r="E64" s="326" t="e">
        <f>E65+E67+E68+E69+#REF!+E70+E73+E78+E80</f>
        <v>#REF!</v>
      </c>
      <c r="F64" s="326" t="e">
        <f>F65+F67+F68+F69+#REF!+F70+F73+F78+F80</f>
        <v>#REF!</v>
      </c>
      <c r="G64" s="326" t="e">
        <f>G65+G67+G68+G69+#REF!+G70+G73+G78+G80</f>
        <v>#REF!</v>
      </c>
      <c r="H64" s="326" t="e">
        <f>H65+H67+H68+H69+#REF!+H70+H73+H78+H80+H66</f>
        <v>#REF!</v>
      </c>
      <c r="I64" s="326" t="e">
        <f>I65+I67+I68+I69+#REF!+I70+I73+I78+I80+I66</f>
        <v>#REF!</v>
      </c>
      <c r="J64" s="326" t="e">
        <f>J65+J67+J68+J69+#REF!+J70+J73+J78+J80+J66</f>
        <v>#REF!</v>
      </c>
      <c r="K64" s="353">
        <f>SUM(K65:K82)</f>
        <v>201278</v>
      </c>
      <c r="L64" s="353">
        <f>SUM(L65:L82)</f>
        <v>180056</v>
      </c>
      <c r="M64" s="539">
        <f t="shared" si="2"/>
        <v>0.8945637377159948</v>
      </c>
      <c r="N64" s="353">
        <f aca="true" t="shared" si="21" ref="N64:T64">SUM(N65:N82)</f>
        <v>180056</v>
      </c>
      <c r="O64" s="353">
        <f t="shared" si="21"/>
        <v>133350</v>
      </c>
      <c r="P64" s="353">
        <f t="shared" si="21"/>
        <v>27350</v>
      </c>
      <c r="Q64" s="353">
        <f t="shared" si="21"/>
        <v>0</v>
      </c>
      <c r="R64" s="353">
        <f t="shared" si="21"/>
        <v>0</v>
      </c>
      <c r="S64" s="353">
        <f t="shared" si="21"/>
        <v>0</v>
      </c>
      <c r="T64" s="491">
        <f t="shared" si="21"/>
        <v>0</v>
      </c>
    </row>
    <row r="65" spans="1:20" s="167" customFormat="1" ht="12" customHeight="1">
      <c r="A65" s="515"/>
      <c r="B65" s="145" t="s">
        <v>2</v>
      </c>
      <c r="C65" s="129" t="s">
        <v>858</v>
      </c>
      <c r="D65" s="6">
        <v>49324</v>
      </c>
      <c r="E65" s="14">
        <v>53163</v>
      </c>
      <c r="F65" s="14">
        <v>0</v>
      </c>
      <c r="G65" s="14">
        <v>0</v>
      </c>
      <c r="H65" s="14">
        <v>34560</v>
      </c>
      <c r="I65" s="14">
        <v>0</v>
      </c>
      <c r="J65" s="14">
        <v>0</v>
      </c>
      <c r="K65" s="130">
        <v>62033</v>
      </c>
      <c r="L65" s="130">
        <v>53040</v>
      </c>
      <c r="M65" s="356">
        <f t="shared" si="2"/>
        <v>0.8550287750068511</v>
      </c>
      <c r="N65" s="130">
        <f aca="true" t="shared" si="22" ref="N65:N82">L65</f>
        <v>53040</v>
      </c>
      <c r="O65" s="130">
        <f>N65</f>
        <v>53040</v>
      </c>
      <c r="P65" s="354">
        <v>0</v>
      </c>
      <c r="Q65" s="355">
        <v>0</v>
      </c>
      <c r="R65" s="356"/>
      <c r="S65" s="356"/>
      <c r="T65" s="492"/>
    </row>
    <row r="66" spans="1:20" s="167" customFormat="1" ht="14.25" customHeight="1">
      <c r="A66" s="515"/>
      <c r="B66" s="145" t="s">
        <v>4</v>
      </c>
      <c r="C66" s="129" t="s">
        <v>859</v>
      </c>
      <c r="D66" s="6"/>
      <c r="E66" s="14"/>
      <c r="F66" s="14"/>
      <c r="G66" s="14"/>
      <c r="H66" s="14">
        <v>22800</v>
      </c>
      <c r="I66" s="14">
        <v>0</v>
      </c>
      <c r="J66" s="14">
        <v>0</v>
      </c>
      <c r="K66" s="130">
        <v>76746</v>
      </c>
      <c r="L66" s="130">
        <v>69360</v>
      </c>
      <c r="M66" s="356">
        <f t="shared" si="2"/>
        <v>0.9037604565710265</v>
      </c>
      <c r="N66" s="130">
        <f t="shared" si="22"/>
        <v>69360</v>
      </c>
      <c r="O66" s="130">
        <f>N66</f>
        <v>69360</v>
      </c>
      <c r="P66" s="354">
        <v>0</v>
      </c>
      <c r="Q66" s="355">
        <v>0</v>
      </c>
      <c r="R66" s="356"/>
      <c r="S66" s="356"/>
      <c r="T66" s="492"/>
    </row>
    <row r="67" spans="1:20" s="167" customFormat="1" ht="14.25" customHeight="1">
      <c r="A67" s="515"/>
      <c r="B67" s="145" t="s">
        <v>6</v>
      </c>
      <c r="C67" s="129" t="s">
        <v>7</v>
      </c>
      <c r="D67" s="6">
        <v>2600</v>
      </c>
      <c r="E67" s="14">
        <v>4103</v>
      </c>
      <c r="F67" s="14">
        <v>0</v>
      </c>
      <c r="G67" s="14">
        <v>0</v>
      </c>
      <c r="H67" s="14">
        <v>4508</v>
      </c>
      <c r="I67" s="14">
        <v>0</v>
      </c>
      <c r="J67" s="14">
        <v>0</v>
      </c>
      <c r="K67" s="130">
        <v>8864</v>
      </c>
      <c r="L67" s="130">
        <v>10950</v>
      </c>
      <c r="M67" s="356">
        <f t="shared" si="2"/>
        <v>1.2353339350180506</v>
      </c>
      <c r="N67" s="130">
        <f t="shared" si="22"/>
        <v>10950</v>
      </c>
      <c r="O67" s="130">
        <f>N67</f>
        <v>10950</v>
      </c>
      <c r="P67" s="354">
        <v>0</v>
      </c>
      <c r="Q67" s="355">
        <v>0</v>
      </c>
      <c r="R67" s="356"/>
      <c r="S67" s="356"/>
      <c r="T67" s="492"/>
    </row>
    <row r="68" spans="1:20" s="167" customFormat="1" ht="15" customHeight="1">
      <c r="A68" s="515"/>
      <c r="B68" s="519" t="s">
        <v>56</v>
      </c>
      <c r="C68" s="129" t="s">
        <v>34</v>
      </c>
      <c r="D68" s="6">
        <v>10556</v>
      </c>
      <c r="E68" s="14">
        <v>10240</v>
      </c>
      <c r="F68" s="14">
        <v>0</v>
      </c>
      <c r="G68" s="14">
        <v>0</v>
      </c>
      <c r="H68" s="14">
        <v>11254</v>
      </c>
      <c r="I68" s="14">
        <v>0</v>
      </c>
      <c r="J68" s="14">
        <v>0</v>
      </c>
      <c r="K68" s="130">
        <v>26686</v>
      </c>
      <c r="L68" s="130">
        <v>24083</v>
      </c>
      <c r="M68" s="356">
        <f t="shared" si="2"/>
        <v>0.9024582177921008</v>
      </c>
      <c r="N68" s="130">
        <f t="shared" si="22"/>
        <v>24083</v>
      </c>
      <c r="O68" s="130"/>
      <c r="P68" s="354">
        <f>N68</f>
        <v>24083</v>
      </c>
      <c r="Q68" s="355">
        <v>0</v>
      </c>
      <c r="R68" s="356"/>
      <c r="S68" s="356"/>
      <c r="T68" s="492"/>
    </row>
    <row r="69" spans="1:20" s="167" customFormat="1" ht="14.25" customHeight="1">
      <c r="A69" s="515"/>
      <c r="B69" s="519" t="s">
        <v>8</v>
      </c>
      <c r="C69" s="129" t="s">
        <v>9</v>
      </c>
      <c r="D69" s="6"/>
      <c r="E69" s="14">
        <v>1403</v>
      </c>
      <c r="F69" s="14">
        <v>0</v>
      </c>
      <c r="G69" s="14">
        <v>0</v>
      </c>
      <c r="H69" s="14">
        <v>1516</v>
      </c>
      <c r="I69" s="14">
        <v>0</v>
      </c>
      <c r="J69" s="14">
        <v>0</v>
      </c>
      <c r="K69" s="130">
        <v>3614</v>
      </c>
      <c r="L69" s="130">
        <v>3267</v>
      </c>
      <c r="M69" s="356">
        <f t="shared" si="2"/>
        <v>0.9039845047039292</v>
      </c>
      <c r="N69" s="130">
        <f t="shared" si="22"/>
        <v>3267</v>
      </c>
      <c r="O69" s="130"/>
      <c r="P69" s="354">
        <f>N69</f>
        <v>3267</v>
      </c>
      <c r="Q69" s="355">
        <v>0</v>
      </c>
      <c r="R69" s="356"/>
      <c r="S69" s="356"/>
      <c r="T69" s="492"/>
    </row>
    <row r="70" spans="1:20" s="167" customFormat="1" ht="13.5" customHeight="1">
      <c r="A70" s="515"/>
      <c r="B70" s="145" t="s">
        <v>10</v>
      </c>
      <c r="C70" s="129" t="s">
        <v>11</v>
      </c>
      <c r="D70" s="6"/>
      <c r="E70" s="14">
        <v>2270</v>
      </c>
      <c r="F70" s="14">
        <v>0</v>
      </c>
      <c r="G70" s="14">
        <v>0</v>
      </c>
      <c r="H70" s="14">
        <v>300</v>
      </c>
      <c r="I70" s="14">
        <v>0</v>
      </c>
      <c r="J70" s="14">
        <v>0</v>
      </c>
      <c r="K70" s="130">
        <v>5956</v>
      </c>
      <c r="L70" s="130">
        <v>2288</v>
      </c>
      <c r="M70" s="356">
        <f t="shared" si="2"/>
        <v>0.38415043653458697</v>
      </c>
      <c r="N70" s="130">
        <f t="shared" si="22"/>
        <v>2288</v>
      </c>
      <c r="O70" s="130"/>
      <c r="P70" s="354">
        <v>0</v>
      </c>
      <c r="Q70" s="355">
        <v>0</v>
      </c>
      <c r="R70" s="356"/>
      <c r="S70" s="356"/>
      <c r="T70" s="492"/>
    </row>
    <row r="71" spans="1:20" s="167" customFormat="1" ht="13.5" customHeight="1">
      <c r="A71" s="515"/>
      <c r="B71" s="145" t="s">
        <v>12</v>
      </c>
      <c r="C71" s="129" t="s">
        <v>97</v>
      </c>
      <c r="D71" s="6"/>
      <c r="E71" s="14"/>
      <c r="F71" s="14"/>
      <c r="G71" s="14"/>
      <c r="H71" s="14"/>
      <c r="I71" s="14"/>
      <c r="J71" s="14"/>
      <c r="K71" s="130">
        <v>2263</v>
      </c>
      <c r="L71" s="130">
        <v>2500</v>
      </c>
      <c r="M71" s="356">
        <f t="shared" si="2"/>
        <v>1.104728236853734</v>
      </c>
      <c r="N71" s="130">
        <f t="shared" si="22"/>
        <v>2500</v>
      </c>
      <c r="O71" s="130"/>
      <c r="P71" s="354"/>
      <c r="Q71" s="355"/>
      <c r="R71" s="356"/>
      <c r="S71" s="356"/>
      <c r="T71" s="492"/>
    </row>
    <row r="72" spans="1:20" s="167" customFormat="1" ht="13.5" customHeight="1">
      <c r="A72" s="515"/>
      <c r="B72" s="145" t="s">
        <v>76</v>
      </c>
      <c r="C72" s="129" t="s">
        <v>77</v>
      </c>
      <c r="D72" s="6"/>
      <c r="E72" s="14"/>
      <c r="F72" s="14"/>
      <c r="G72" s="14"/>
      <c r="H72" s="14"/>
      <c r="I72" s="14"/>
      <c r="J72" s="14"/>
      <c r="K72" s="130">
        <v>30</v>
      </c>
      <c r="L72" s="130">
        <v>150</v>
      </c>
      <c r="M72" s="356">
        <f t="shared" si="2"/>
        <v>5</v>
      </c>
      <c r="N72" s="130">
        <f t="shared" si="22"/>
        <v>150</v>
      </c>
      <c r="O72" s="130"/>
      <c r="P72" s="354"/>
      <c r="Q72" s="355"/>
      <c r="R72" s="356"/>
      <c r="S72" s="356"/>
      <c r="T72" s="492"/>
    </row>
    <row r="73" spans="1:20" s="167" customFormat="1" ht="12.75" customHeight="1">
      <c r="A73" s="515"/>
      <c r="B73" s="145" t="s">
        <v>16</v>
      </c>
      <c r="C73" s="129" t="s">
        <v>99</v>
      </c>
      <c r="D73" s="6"/>
      <c r="E73" s="14">
        <v>4000</v>
      </c>
      <c r="F73" s="14">
        <v>0</v>
      </c>
      <c r="G73" s="14">
        <v>0</v>
      </c>
      <c r="H73" s="14">
        <v>3097</v>
      </c>
      <c r="I73" s="14">
        <v>0</v>
      </c>
      <c r="J73" s="14">
        <v>0</v>
      </c>
      <c r="K73" s="130">
        <v>6337</v>
      </c>
      <c r="L73" s="130">
        <v>3338</v>
      </c>
      <c r="M73" s="356">
        <f t="shared" si="2"/>
        <v>0.5267476724001894</v>
      </c>
      <c r="N73" s="130">
        <f t="shared" si="22"/>
        <v>3338</v>
      </c>
      <c r="O73" s="130"/>
      <c r="P73" s="354">
        <v>0</v>
      </c>
      <c r="Q73" s="355">
        <v>0</v>
      </c>
      <c r="R73" s="356"/>
      <c r="S73" s="356"/>
      <c r="T73" s="492"/>
    </row>
    <row r="74" spans="1:20" s="167" customFormat="1" ht="12.75" customHeight="1">
      <c r="A74" s="515"/>
      <c r="B74" s="145" t="s">
        <v>737</v>
      </c>
      <c r="C74" s="129" t="s">
        <v>738</v>
      </c>
      <c r="D74" s="6"/>
      <c r="E74" s="14"/>
      <c r="F74" s="14"/>
      <c r="G74" s="14"/>
      <c r="H74" s="14"/>
      <c r="I74" s="14"/>
      <c r="J74" s="14"/>
      <c r="K74" s="130">
        <v>0</v>
      </c>
      <c r="L74" s="130">
        <v>780</v>
      </c>
      <c r="M74" s="356">
        <v>0</v>
      </c>
      <c r="N74" s="130">
        <f t="shared" si="22"/>
        <v>780</v>
      </c>
      <c r="O74" s="130"/>
      <c r="P74" s="354"/>
      <c r="Q74" s="355"/>
      <c r="R74" s="356"/>
      <c r="S74" s="356"/>
      <c r="T74" s="492"/>
    </row>
    <row r="75" spans="1:20" s="167" customFormat="1" ht="12.75" customHeight="1">
      <c r="A75" s="515"/>
      <c r="B75" s="145" t="s">
        <v>324</v>
      </c>
      <c r="C75" s="129" t="s">
        <v>326</v>
      </c>
      <c r="D75" s="6"/>
      <c r="E75" s="14"/>
      <c r="F75" s="14"/>
      <c r="G75" s="14"/>
      <c r="H75" s="14"/>
      <c r="I75" s="14"/>
      <c r="J75" s="14"/>
      <c r="K75" s="130">
        <v>604</v>
      </c>
      <c r="L75" s="130">
        <v>660</v>
      </c>
      <c r="M75" s="356">
        <f aca="true" t="shared" si="23" ref="M75:M137">L75/K75</f>
        <v>1.0927152317880795</v>
      </c>
      <c r="N75" s="130">
        <f t="shared" si="22"/>
        <v>660</v>
      </c>
      <c r="O75" s="130"/>
      <c r="P75" s="354"/>
      <c r="Q75" s="355"/>
      <c r="R75" s="356"/>
      <c r="S75" s="356"/>
      <c r="T75" s="492"/>
    </row>
    <row r="76" spans="1:20" s="167" customFormat="1" ht="12.75" customHeight="1">
      <c r="A76" s="515"/>
      <c r="B76" s="145" t="s">
        <v>316</v>
      </c>
      <c r="C76" s="129" t="s">
        <v>320</v>
      </c>
      <c r="D76" s="6"/>
      <c r="E76" s="14"/>
      <c r="F76" s="14"/>
      <c r="G76" s="14"/>
      <c r="H76" s="14"/>
      <c r="I76" s="14"/>
      <c r="J76" s="14"/>
      <c r="K76" s="130">
        <v>1884</v>
      </c>
      <c r="L76" s="130">
        <v>2000</v>
      </c>
      <c r="M76" s="356">
        <f t="shared" si="23"/>
        <v>1.0615711252653928</v>
      </c>
      <c r="N76" s="130">
        <f t="shared" si="22"/>
        <v>2000</v>
      </c>
      <c r="O76" s="130"/>
      <c r="P76" s="354"/>
      <c r="Q76" s="355"/>
      <c r="R76" s="356"/>
      <c r="S76" s="356"/>
      <c r="T76" s="492"/>
    </row>
    <row r="77" spans="1:20" s="167" customFormat="1" ht="12.75" customHeight="1">
      <c r="A77" s="515"/>
      <c r="B77" s="145" t="s">
        <v>333</v>
      </c>
      <c r="C77" s="129" t="s">
        <v>334</v>
      </c>
      <c r="D77" s="6"/>
      <c r="E77" s="14"/>
      <c r="F77" s="14"/>
      <c r="G77" s="14"/>
      <c r="H77" s="14"/>
      <c r="I77" s="14"/>
      <c r="J77" s="14"/>
      <c r="K77" s="130">
        <v>1270</v>
      </c>
      <c r="L77" s="130">
        <v>1440</v>
      </c>
      <c r="M77" s="356">
        <f t="shared" si="23"/>
        <v>1.1338582677165354</v>
      </c>
      <c r="N77" s="130">
        <f t="shared" si="22"/>
        <v>1440</v>
      </c>
      <c r="O77" s="130"/>
      <c r="P77" s="354"/>
      <c r="Q77" s="355"/>
      <c r="R77" s="356"/>
      <c r="S77" s="356"/>
      <c r="T77" s="492"/>
    </row>
    <row r="78" spans="1:20" s="167" customFormat="1" ht="13.5" customHeight="1">
      <c r="A78" s="515"/>
      <c r="B78" s="145" t="s">
        <v>18</v>
      </c>
      <c r="C78" s="129" t="s">
        <v>19</v>
      </c>
      <c r="D78" s="6"/>
      <c r="E78" s="14">
        <v>2500</v>
      </c>
      <c r="F78" s="14">
        <v>0</v>
      </c>
      <c r="G78" s="14">
        <v>0</v>
      </c>
      <c r="H78" s="14">
        <v>2478</v>
      </c>
      <c r="I78" s="14">
        <v>0</v>
      </c>
      <c r="J78" s="14">
        <v>0</v>
      </c>
      <c r="K78" s="130">
        <v>0</v>
      </c>
      <c r="L78" s="130">
        <v>500</v>
      </c>
      <c r="M78" s="356">
        <v>0</v>
      </c>
      <c r="N78" s="130">
        <f t="shared" si="22"/>
        <v>500</v>
      </c>
      <c r="O78" s="130"/>
      <c r="P78" s="354">
        <v>0</v>
      </c>
      <c r="Q78" s="355">
        <v>0</v>
      </c>
      <c r="R78" s="356"/>
      <c r="S78" s="356"/>
      <c r="T78" s="492"/>
    </row>
    <row r="79" spans="1:20" s="167" customFormat="1" ht="13.5" customHeight="1">
      <c r="A79" s="515"/>
      <c r="B79" s="145" t="s">
        <v>20</v>
      </c>
      <c r="C79" s="129" t="s">
        <v>21</v>
      </c>
      <c r="D79" s="6"/>
      <c r="E79" s="14"/>
      <c r="F79" s="14"/>
      <c r="G79" s="14"/>
      <c r="H79" s="14"/>
      <c r="I79" s="14"/>
      <c r="J79" s="14"/>
      <c r="K79" s="130">
        <v>1134</v>
      </c>
      <c r="L79" s="130">
        <v>2000</v>
      </c>
      <c r="M79" s="356">
        <f t="shared" si="23"/>
        <v>1.763668430335097</v>
      </c>
      <c r="N79" s="130">
        <f t="shared" si="22"/>
        <v>2000</v>
      </c>
      <c r="O79" s="130"/>
      <c r="P79" s="354">
        <v>0</v>
      </c>
      <c r="Q79" s="355">
        <v>0</v>
      </c>
      <c r="R79" s="356"/>
      <c r="S79" s="356"/>
      <c r="T79" s="492"/>
    </row>
    <row r="80" spans="1:20" s="167" customFormat="1" ht="15" customHeight="1">
      <c r="A80" s="515"/>
      <c r="B80" s="145" t="s">
        <v>22</v>
      </c>
      <c r="C80" s="129" t="s">
        <v>23</v>
      </c>
      <c r="D80" s="6"/>
      <c r="E80" s="14">
        <v>1241</v>
      </c>
      <c r="F80" s="14">
        <v>0</v>
      </c>
      <c r="G80" s="14">
        <v>0</v>
      </c>
      <c r="H80" s="14">
        <v>1353</v>
      </c>
      <c r="I80" s="14">
        <v>0</v>
      </c>
      <c r="J80" s="14">
        <v>0</v>
      </c>
      <c r="K80" s="130">
        <v>3057</v>
      </c>
      <c r="L80" s="130">
        <v>3150</v>
      </c>
      <c r="M80" s="356">
        <f t="shared" si="23"/>
        <v>1.030421982335623</v>
      </c>
      <c r="N80" s="130">
        <f t="shared" si="22"/>
        <v>3150</v>
      </c>
      <c r="O80" s="130"/>
      <c r="P80" s="354">
        <v>0</v>
      </c>
      <c r="Q80" s="355">
        <v>0</v>
      </c>
      <c r="R80" s="356"/>
      <c r="S80" s="356"/>
      <c r="T80" s="492"/>
    </row>
    <row r="81" spans="1:20" s="167" customFormat="1" ht="15" customHeight="1">
      <c r="A81" s="515"/>
      <c r="B81" s="145" t="s">
        <v>318</v>
      </c>
      <c r="C81" s="129" t="s">
        <v>322</v>
      </c>
      <c r="D81" s="6"/>
      <c r="E81" s="14"/>
      <c r="F81" s="14"/>
      <c r="G81" s="14"/>
      <c r="H81" s="14"/>
      <c r="I81" s="14"/>
      <c r="J81" s="14"/>
      <c r="K81" s="130">
        <v>800</v>
      </c>
      <c r="L81" s="130">
        <v>250</v>
      </c>
      <c r="M81" s="356">
        <f t="shared" si="23"/>
        <v>0.3125</v>
      </c>
      <c r="N81" s="130">
        <f t="shared" si="22"/>
        <v>250</v>
      </c>
      <c r="O81" s="130"/>
      <c r="P81" s="354"/>
      <c r="Q81" s="355"/>
      <c r="R81" s="356"/>
      <c r="S81" s="356"/>
      <c r="T81" s="492"/>
    </row>
    <row r="82" spans="1:20" s="167" customFormat="1" ht="15" customHeight="1">
      <c r="A82" s="515"/>
      <c r="B82" s="145" t="s">
        <v>319</v>
      </c>
      <c r="C82" s="129" t="s">
        <v>323</v>
      </c>
      <c r="D82" s="6"/>
      <c r="E82" s="14"/>
      <c r="F82" s="14"/>
      <c r="G82" s="14"/>
      <c r="H82" s="14"/>
      <c r="I82" s="14"/>
      <c r="J82" s="14"/>
      <c r="K82" s="130">
        <v>0</v>
      </c>
      <c r="L82" s="130">
        <v>300</v>
      </c>
      <c r="M82" s="356">
        <v>0</v>
      </c>
      <c r="N82" s="130">
        <f t="shared" si="22"/>
        <v>300</v>
      </c>
      <c r="O82" s="130"/>
      <c r="P82" s="354"/>
      <c r="Q82" s="355"/>
      <c r="R82" s="356"/>
      <c r="S82" s="356"/>
      <c r="T82" s="492"/>
    </row>
    <row r="83" spans="1:20" s="167" customFormat="1" ht="26.25" customHeight="1">
      <c r="A83" s="511" t="s">
        <v>57</v>
      </c>
      <c r="B83" s="522"/>
      <c r="C83" s="215" t="s">
        <v>58</v>
      </c>
      <c r="D83" s="201" t="e">
        <f>D84+D96+D105+D132+D147</f>
        <v>#REF!</v>
      </c>
      <c r="E83" s="201" t="e">
        <f>E84+E96+E105+E132+E147</f>
        <v>#REF!</v>
      </c>
      <c r="F83" s="201" t="e">
        <f>F84+F96+F105+F132+F147</f>
        <v>#REF!</v>
      </c>
      <c r="G83" s="201" t="e">
        <f>G84+G96+G105+G132+G147</f>
        <v>#REF!</v>
      </c>
      <c r="H83" s="201" t="e">
        <f>H84+H96+H105+H132+H147+#REF!</f>
        <v>#REF!</v>
      </c>
      <c r="I83" s="201" t="e">
        <f>I84+I96+I105+I132+I147+#REF!</f>
        <v>#REF!</v>
      </c>
      <c r="J83" s="201" t="e">
        <f>J84+J96+J105+J132+J147+#REF!</f>
        <v>#REF!</v>
      </c>
      <c r="K83" s="357">
        <f>K84+K94+K96+K105+K132+K142+K147</f>
        <v>2616044</v>
      </c>
      <c r="L83" s="357">
        <f>L84+L94+L96+L105+L132+L142+L147</f>
        <v>2762444</v>
      </c>
      <c r="M83" s="473">
        <f t="shared" si="23"/>
        <v>1.0559623614893328</v>
      </c>
      <c r="N83" s="357">
        <f aca="true" t="shared" si="24" ref="N83:T83">N84+N94+N96+N105+N132+N142+N147</f>
        <v>2720444</v>
      </c>
      <c r="O83" s="357">
        <f t="shared" si="24"/>
        <v>1731481</v>
      </c>
      <c r="P83" s="357">
        <f t="shared" si="24"/>
        <v>222745</v>
      </c>
      <c r="Q83" s="357">
        <f t="shared" si="24"/>
        <v>13380</v>
      </c>
      <c r="R83" s="357">
        <f t="shared" si="24"/>
        <v>0</v>
      </c>
      <c r="S83" s="357">
        <f t="shared" si="24"/>
        <v>0</v>
      </c>
      <c r="T83" s="493">
        <f t="shared" si="24"/>
        <v>42000</v>
      </c>
    </row>
    <row r="84" spans="1:20" s="167" customFormat="1" ht="13.5" customHeight="1">
      <c r="A84" s="513" t="s">
        <v>59</v>
      </c>
      <c r="B84" s="509"/>
      <c r="C84" s="327" t="s">
        <v>60</v>
      </c>
      <c r="D84" s="326" t="e">
        <f>D85+D86+D87+#REF!</f>
        <v>#REF!</v>
      </c>
      <c r="E84" s="326" t="e">
        <f>E85+E86+E87+E88+#REF!+E90</f>
        <v>#REF!</v>
      </c>
      <c r="F84" s="326" t="e">
        <f>F85+F86+F87+F88+#REF!+F90</f>
        <v>#REF!</v>
      </c>
      <c r="G84" s="326" t="e">
        <f>G85+G86+G87+G88+#REF!+G90</f>
        <v>#REF!</v>
      </c>
      <c r="H84" s="326" t="e">
        <f>H85+H86+H87+H88+#REF!+H90+H91+H92+H93+#REF!</f>
        <v>#REF!</v>
      </c>
      <c r="I84" s="326" t="e">
        <f>I85+I86+I87+I88+#REF!+I90+I91+I92+I93+#REF!</f>
        <v>#REF!</v>
      </c>
      <c r="J84" s="326" t="e">
        <f>J85+J86+J87+J88+#REF!+J90+J91+J92+J93+#REF!</f>
        <v>#REF!</v>
      </c>
      <c r="K84" s="353">
        <f>K85+K86+K87+K89+K88+K90+K91+K92+K93</f>
        <v>102748</v>
      </c>
      <c r="L84" s="353">
        <f>SUM(L85:L93)</f>
        <v>102748</v>
      </c>
      <c r="M84" s="539">
        <f t="shared" si="23"/>
        <v>1</v>
      </c>
      <c r="N84" s="353">
        <f aca="true" t="shared" si="25" ref="N84:T84">SUM(N85:N93)</f>
        <v>102748</v>
      </c>
      <c r="O84" s="353">
        <f t="shared" si="25"/>
        <v>82312</v>
      </c>
      <c r="P84" s="353">
        <f t="shared" si="25"/>
        <v>14782</v>
      </c>
      <c r="Q84" s="353">
        <f t="shared" si="25"/>
        <v>0</v>
      </c>
      <c r="R84" s="353">
        <f t="shared" si="25"/>
        <v>0</v>
      </c>
      <c r="S84" s="353">
        <f t="shared" si="25"/>
        <v>0</v>
      </c>
      <c r="T84" s="491">
        <f t="shared" si="25"/>
        <v>0</v>
      </c>
    </row>
    <row r="85" spans="1:20" s="167" customFormat="1" ht="14.25" customHeight="1">
      <c r="A85" s="515"/>
      <c r="B85" s="145" t="s">
        <v>2</v>
      </c>
      <c r="C85" s="129" t="s">
        <v>858</v>
      </c>
      <c r="D85" s="6">
        <v>90000</v>
      </c>
      <c r="E85" s="14">
        <v>90000</v>
      </c>
      <c r="F85" s="14">
        <v>0</v>
      </c>
      <c r="G85" s="14">
        <v>0</v>
      </c>
      <c r="H85" s="14">
        <v>51600</v>
      </c>
      <c r="I85" s="14">
        <v>0</v>
      </c>
      <c r="J85" s="14">
        <v>0</v>
      </c>
      <c r="K85" s="130">
        <v>70400</v>
      </c>
      <c r="L85" s="130">
        <v>70400</v>
      </c>
      <c r="M85" s="356">
        <f t="shared" si="23"/>
        <v>1</v>
      </c>
      <c r="N85" s="130">
        <f>L85</f>
        <v>70400</v>
      </c>
      <c r="O85" s="130">
        <f>L85</f>
        <v>70400</v>
      </c>
      <c r="P85" s="354"/>
      <c r="Q85" s="355">
        <v>0</v>
      </c>
      <c r="R85" s="356"/>
      <c r="S85" s="356"/>
      <c r="T85" s="492"/>
    </row>
    <row r="86" spans="1:20" s="167" customFormat="1" ht="15.75" customHeight="1">
      <c r="A86" s="515"/>
      <c r="B86" s="145" t="s">
        <v>6</v>
      </c>
      <c r="C86" s="129" t="s">
        <v>7</v>
      </c>
      <c r="D86" s="6">
        <v>6390</v>
      </c>
      <c r="E86" s="14">
        <v>6390</v>
      </c>
      <c r="F86" s="14">
        <v>0</v>
      </c>
      <c r="G86" s="14">
        <v>0</v>
      </c>
      <c r="H86" s="14">
        <v>3825</v>
      </c>
      <c r="I86" s="14">
        <v>0</v>
      </c>
      <c r="J86" s="14">
        <v>0</v>
      </c>
      <c r="K86" s="130">
        <v>4712</v>
      </c>
      <c r="L86" s="130">
        <v>4712</v>
      </c>
      <c r="M86" s="356">
        <f t="shared" si="23"/>
        <v>1</v>
      </c>
      <c r="N86" s="130">
        <f aca="true" t="shared" si="26" ref="N86:N93">L86</f>
        <v>4712</v>
      </c>
      <c r="O86" s="130">
        <f>L86</f>
        <v>4712</v>
      </c>
      <c r="P86" s="354"/>
      <c r="Q86" s="355">
        <v>0</v>
      </c>
      <c r="R86" s="356"/>
      <c r="S86" s="356"/>
      <c r="T86" s="492"/>
    </row>
    <row r="87" spans="1:20" s="167" customFormat="1" ht="16.5" customHeight="1">
      <c r="A87" s="515"/>
      <c r="B87" s="519" t="s">
        <v>56</v>
      </c>
      <c r="C87" s="129" t="s">
        <v>61</v>
      </c>
      <c r="D87" s="6">
        <v>19597</v>
      </c>
      <c r="E87" s="14">
        <v>17235</v>
      </c>
      <c r="F87" s="14">
        <v>0</v>
      </c>
      <c r="G87" s="14">
        <v>0</v>
      </c>
      <c r="H87" s="14">
        <v>9550</v>
      </c>
      <c r="I87" s="14">
        <v>0</v>
      </c>
      <c r="J87" s="14">
        <v>0</v>
      </c>
      <c r="K87" s="130">
        <v>12873</v>
      </c>
      <c r="L87" s="130">
        <v>12942</v>
      </c>
      <c r="M87" s="356">
        <f t="shared" si="23"/>
        <v>1.0053600559310185</v>
      </c>
      <c r="N87" s="130">
        <f t="shared" si="26"/>
        <v>12942</v>
      </c>
      <c r="O87" s="130"/>
      <c r="P87" s="354">
        <f>N87</f>
        <v>12942</v>
      </c>
      <c r="Q87" s="355"/>
      <c r="R87" s="356"/>
      <c r="S87" s="356"/>
      <c r="T87" s="492"/>
    </row>
    <row r="88" spans="1:20" s="167" customFormat="1" ht="15" customHeight="1">
      <c r="A88" s="515"/>
      <c r="B88" s="519" t="s">
        <v>8</v>
      </c>
      <c r="C88" s="129" t="s">
        <v>9</v>
      </c>
      <c r="D88" s="6"/>
      <c r="E88" s="14">
        <v>2362</v>
      </c>
      <c r="F88" s="14">
        <v>0</v>
      </c>
      <c r="G88" s="14">
        <v>0</v>
      </c>
      <c r="H88" s="14">
        <v>1358</v>
      </c>
      <c r="I88" s="14">
        <v>0</v>
      </c>
      <c r="J88" s="14">
        <v>0</v>
      </c>
      <c r="K88" s="130">
        <v>1840</v>
      </c>
      <c r="L88" s="130">
        <v>1840</v>
      </c>
      <c r="M88" s="356">
        <f t="shared" si="23"/>
        <v>1</v>
      </c>
      <c r="N88" s="130">
        <f t="shared" si="26"/>
        <v>1840</v>
      </c>
      <c r="O88" s="130"/>
      <c r="P88" s="354">
        <f>N88</f>
        <v>1840</v>
      </c>
      <c r="Q88" s="355"/>
      <c r="R88" s="356"/>
      <c r="S88" s="356"/>
      <c r="T88" s="492"/>
    </row>
    <row r="89" spans="1:20" s="167" customFormat="1" ht="15" customHeight="1">
      <c r="A89" s="515"/>
      <c r="B89" s="145" t="s">
        <v>735</v>
      </c>
      <c r="C89" s="129" t="s">
        <v>736</v>
      </c>
      <c r="D89" s="6"/>
      <c r="E89" s="14"/>
      <c r="F89" s="14"/>
      <c r="G89" s="14"/>
      <c r="H89" s="14"/>
      <c r="I89" s="14"/>
      <c r="J89" s="14"/>
      <c r="K89" s="130">
        <v>7200</v>
      </c>
      <c r="L89" s="130">
        <v>7200</v>
      </c>
      <c r="M89" s="356">
        <f t="shared" si="23"/>
        <v>1</v>
      </c>
      <c r="N89" s="130">
        <f t="shared" si="26"/>
        <v>7200</v>
      </c>
      <c r="O89" s="130">
        <f>N89</f>
        <v>7200</v>
      </c>
      <c r="P89" s="354"/>
      <c r="Q89" s="355">
        <v>0</v>
      </c>
      <c r="R89" s="356"/>
      <c r="S89" s="356"/>
      <c r="T89" s="492"/>
    </row>
    <row r="90" spans="1:20" s="167" customFormat="1" ht="15" customHeight="1">
      <c r="A90" s="515"/>
      <c r="B90" s="145" t="s">
        <v>10</v>
      </c>
      <c r="C90" s="129" t="s">
        <v>11</v>
      </c>
      <c r="D90" s="6"/>
      <c r="E90" s="14">
        <v>3103</v>
      </c>
      <c r="F90" s="14">
        <v>0</v>
      </c>
      <c r="G90" s="14">
        <v>0</v>
      </c>
      <c r="H90" s="14">
        <v>1691</v>
      </c>
      <c r="I90" s="14">
        <v>0</v>
      </c>
      <c r="J90" s="14">
        <v>0</v>
      </c>
      <c r="K90" s="130">
        <v>1279</v>
      </c>
      <c r="L90" s="130">
        <v>1279</v>
      </c>
      <c r="M90" s="356">
        <f t="shared" si="23"/>
        <v>1</v>
      </c>
      <c r="N90" s="130">
        <f t="shared" si="26"/>
        <v>1279</v>
      </c>
      <c r="O90" s="130"/>
      <c r="P90" s="354">
        <v>0</v>
      </c>
      <c r="Q90" s="355">
        <v>0</v>
      </c>
      <c r="R90" s="356"/>
      <c r="S90" s="356"/>
      <c r="T90" s="492"/>
    </row>
    <row r="91" spans="1:20" s="167" customFormat="1" ht="14.25" customHeight="1">
      <c r="A91" s="515"/>
      <c r="B91" s="145" t="s">
        <v>16</v>
      </c>
      <c r="C91" s="129" t="s">
        <v>99</v>
      </c>
      <c r="D91" s="6"/>
      <c r="E91" s="14"/>
      <c r="F91" s="14"/>
      <c r="G91" s="14"/>
      <c r="H91" s="14">
        <v>17600</v>
      </c>
      <c r="I91" s="14">
        <v>0</v>
      </c>
      <c r="J91" s="14">
        <v>0</v>
      </c>
      <c r="K91" s="130">
        <v>1061</v>
      </c>
      <c r="L91" s="130">
        <v>1061</v>
      </c>
      <c r="M91" s="356">
        <f t="shared" si="23"/>
        <v>1</v>
      </c>
      <c r="N91" s="130">
        <f t="shared" si="26"/>
        <v>1061</v>
      </c>
      <c r="O91" s="130"/>
      <c r="P91" s="354">
        <v>0</v>
      </c>
      <c r="Q91" s="355">
        <v>0</v>
      </c>
      <c r="R91" s="356"/>
      <c r="S91" s="356"/>
      <c r="T91" s="492"/>
    </row>
    <row r="92" spans="1:20" s="167" customFormat="1" ht="15" customHeight="1">
      <c r="A92" s="515"/>
      <c r="B92" s="145" t="s">
        <v>18</v>
      </c>
      <c r="C92" s="129" t="s">
        <v>19</v>
      </c>
      <c r="D92" s="6"/>
      <c r="E92" s="14"/>
      <c r="F92" s="14"/>
      <c r="G92" s="14"/>
      <c r="H92" s="14">
        <v>2225</v>
      </c>
      <c r="I92" s="14">
        <v>0</v>
      </c>
      <c r="J92" s="14">
        <v>0</v>
      </c>
      <c r="K92" s="130">
        <v>749</v>
      </c>
      <c r="L92" s="130">
        <v>680</v>
      </c>
      <c r="M92" s="356">
        <f t="shared" si="23"/>
        <v>0.9078771695594126</v>
      </c>
      <c r="N92" s="130">
        <f t="shared" si="26"/>
        <v>680</v>
      </c>
      <c r="O92" s="130"/>
      <c r="P92" s="354">
        <v>0</v>
      </c>
      <c r="Q92" s="355">
        <v>0</v>
      </c>
      <c r="R92" s="356"/>
      <c r="S92" s="356"/>
      <c r="T92" s="492"/>
    </row>
    <row r="93" spans="1:20" s="167" customFormat="1" ht="15" customHeight="1">
      <c r="A93" s="515"/>
      <c r="B93" s="145" t="s">
        <v>22</v>
      </c>
      <c r="C93" s="129" t="s">
        <v>23</v>
      </c>
      <c r="D93" s="6"/>
      <c r="E93" s="14"/>
      <c r="F93" s="14"/>
      <c r="G93" s="14"/>
      <c r="H93" s="73">
        <v>1250</v>
      </c>
      <c r="I93" s="73">
        <v>0</v>
      </c>
      <c r="J93" s="73">
        <v>0</v>
      </c>
      <c r="K93" s="130">
        <v>2634</v>
      </c>
      <c r="L93" s="130">
        <v>2634</v>
      </c>
      <c r="M93" s="356">
        <f t="shared" si="23"/>
        <v>1</v>
      </c>
      <c r="N93" s="130">
        <f t="shared" si="26"/>
        <v>2634</v>
      </c>
      <c r="O93" s="130"/>
      <c r="P93" s="354">
        <v>0</v>
      </c>
      <c r="Q93" s="355">
        <v>0</v>
      </c>
      <c r="R93" s="356"/>
      <c r="S93" s="356"/>
      <c r="T93" s="492"/>
    </row>
    <row r="94" spans="1:20" s="166" customFormat="1" ht="17.25" customHeight="1">
      <c r="A94" s="513" t="s">
        <v>543</v>
      </c>
      <c r="B94" s="509"/>
      <c r="C94" s="327" t="s">
        <v>854</v>
      </c>
      <c r="D94" s="326"/>
      <c r="E94" s="326"/>
      <c r="F94" s="326"/>
      <c r="G94" s="326"/>
      <c r="H94" s="326"/>
      <c r="I94" s="326"/>
      <c r="J94" s="326"/>
      <c r="K94" s="353">
        <f>K95</f>
        <v>3380</v>
      </c>
      <c r="L94" s="353">
        <f>L95</f>
        <v>3380</v>
      </c>
      <c r="M94" s="539">
        <f t="shared" si="23"/>
        <v>1</v>
      </c>
      <c r="N94" s="353">
        <f aca="true" t="shared" si="27" ref="N94:T94">N95</f>
        <v>3380</v>
      </c>
      <c r="O94" s="353">
        <f t="shared" si="27"/>
        <v>0</v>
      </c>
      <c r="P94" s="353">
        <f t="shared" si="27"/>
        <v>0</v>
      </c>
      <c r="Q94" s="353">
        <f t="shared" si="27"/>
        <v>3380</v>
      </c>
      <c r="R94" s="353">
        <f t="shared" si="27"/>
        <v>0</v>
      </c>
      <c r="S94" s="353">
        <f t="shared" si="27"/>
        <v>0</v>
      </c>
      <c r="T94" s="491">
        <f t="shared" si="27"/>
        <v>0</v>
      </c>
    </row>
    <row r="95" spans="1:20" s="167" customFormat="1" ht="24" customHeight="1">
      <c r="A95" s="515"/>
      <c r="B95" s="145" t="s">
        <v>544</v>
      </c>
      <c r="C95" s="129" t="s">
        <v>545</v>
      </c>
      <c r="D95" s="6"/>
      <c r="E95" s="14"/>
      <c r="F95" s="14"/>
      <c r="G95" s="14"/>
      <c r="H95" s="14"/>
      <c r="I95" s="14"/>
      <c r="J95" s="14"/>
      <c r="K95" s="130">
        <v>3380</v>
      </c>
      <c r="L95" s="130">
        <v>3380</v>
      </c>
      <c r="M95" s="356">
        <f t="shared" si="23"/>
        <v>1</v>
      </c>
      <c r="N95" s="130">
        <f>L95</f>
        <v>3380</v>
      </c>
      <c r="O95" s="130">
        <v>0</v>
      </c>
      <c r="P95" s="354">
        <v>0</v>
      </c>
      <c r="Q95" s="355">
        <f>N95</f>
        <v>3380</v>
      </c>
      <c r="R95" s="356"/>
      <c r="S95" s="356"/>
      <c r="T95" s="492"/>
    </row>
    <row r="96" spans="1:20" s="166" customFormat="1" ht="16.5" customHeight="1">
      <c r="A96" s="513" t="s">
        <v>63</v>
      </c>
      <c r="B96" s="509"/>
      <c r="C96" s="327" t="s">
        <v>64</v>
      </c>
      <c r="D96" s="326">
        <f>D97</f>
        <v>134900</v>
      </c>
      <c r="E96" s="326" t="e">
        <f>E97+#REF!+#REF!+#REF!</f>
        <v>#REF!</v>
      </c>
      <c r="F96" s="326" t="e">
        <f>F97+#REF!+#REF!+#REF!</f>
        <v>#REF!</v>
      </c>
      <c r="G96" s="326" t="e">
        <f>G97+#REF!+#REF!+#REF!</f>
        <v>#REF!</v>
      </c>
      <c r="H96" s="326">
        <f>H97+H98+H100</f>
        <v>86060</v>
      </c>
      <c r="I96" s="326">
        <f>I97+I98+I100</f>
        <v>0</v>
      </c>
      <c r="J96" s="326">
        <f>J97+J98+J100</f>
        <v>0</v>
      </c>
      <c r="K96" s="353">
        <f>K97+K98+K99+K100+K101+K102+K103+K104</f>
        <v>82800</v>
      </c>
      <c r="L96" s="353">
        <f>L97+L98+L99+L100+L101+L102+L103+L104</f>
        <v>105671</v>
      </c>
      <c r="M96" s="539">
        <f t="shared" si="23"/>
        <v>1.276219806763285</v>
      </c>
      <c r="N96" s="353">
        <f aca="true" t="shared" si="28" ref="N96:T96">N97+N98+N99+N100+N101+N102+N103+N104</f>
        <v>105671</v>
      </c>
      <c r="O96" s="353">
        <f t="shared" si="28"/>
        <v>0</v>
      </c>
      <c r="P96" s="353">
        <f t="shared" si="28"/>
        <v>0</v>
      </c>
      <c r="Q96" s="353">
        <f t="shared" si="28"/>
        <v>0</v>
      </c>
      <c r="R96" s="353">
        <f t="shared" si="28"/>
        <v>0</v>
      </c>
      <c r="S96" s="353">
        <f t="shared" si="28"/>
        <v>0</v>
      </c>
      <c r="T96" s="491">
        <f t="shared" si="28"/>
        <v>0</v>
      </c>
    </row>
    <row r="97" spans="1:20" s="167" customFormat="1" ht="12.75" customHeight="1">
      <c r="A97" s="515"/>
      <c r="B97" s="145" t="s">
        <v>1</v>
      </c>
      <c r="C97" s="129" t="s">
        <v>65</v>
      </c>
      <c r="D97" s="6">
        <v>134900</v>
      </c>
      <c r="E97" s="14">
        <v>191600</v>
      </c>
      <c r="F97" s="14">
        <v>0</v>
      </c>
      <c r="G97" s="14">
        <v>0</v>
      </c>
      <c r="H97" s="14">
        <v>74690</v>
      </c>
      <c r="I97" s="14">
        <v>0</v>
      </c>
      <c r="J97" s="14">
        <v>0</v>
      </c>
      <c r="K97" s="130">
        <v>60000</v>
      </c>
      <c r="L97" s="130">
        <v>82772</v>
      </c>
      <c r="M97" s="356">
        <f t="shared" si="23"/>
        <v>1.3795333333333333</v>
      </c>
      <c r="N97" s="130">
        <f>L97</f>
        <v>82772</v>
      </c>
      <c r="O97" s="130">
        <v>0</v>
      </c>
      <c r="P97" s="354"/>
      <c r="Q97" s="355">
        <v>0</v>
      </c>
      <c r="R97" s="356"/>
      <c r="S97" s="356"/>
      <c r="T97" s="492"/>
    </row>
    <row r="98" spans="1:20" s="167" customFormat="1" ht="12.75" customHeight="1">
      <c r="A98" s="515"/>
      <c r="B98" s="145" t="s">
        <v>10</v>
      </c>
      <c r="C98" s="129" t="s">
        <v>11</v>
      </c>
      <c r="D98" s="6"/>
      <c r="E98" s="14"/>
      <c r="F98" s="14"/>
      <c r="G98" s="14"/>
      <c r="H98" s="14">
        <v>3670</v>
      </c>
      <c r="I98" s="14">
        <v>0</v>
      </c>
      <c r="J98" s="14">
        <v>0</v>
      </c>
      <c r="K98" s="130">
        <v>9285</v>
      </c>
      <c r="L98" s="130">
        <v>9285</v>
      </c>
      <c r="M98" s="356">
        <f t="shared" si="23"/>
        <v>1</v>
      </c>
      <c r="N98" s="130">
        <f aca="true" t="shared" si="29" ref="N98:N104">L98</f>
        <v>9285</v>
      </c>
      <c r="O98" s="130">
        <v>0</v>
      </c>
      <c r="P98" s="354"/>
      <c r="Q98" s="355">
        <v>0</v>
      </c>
      <c r="R98" s="356"/>
      <c r="S98" s="356"/>
      <c r="T98" s="492"/>
    </row>
    <row r="99" spans="1:20" s="167" customFormat="1" ht="12.75" customHeight="1">
      <c r="A99" s="515"/>
      <c r="B99" s="145" t="s">
        <v>12</v>
      </c>
      <c r="C99" s="129" t="s">
        <v>97</v>
      </c>
      <c r="D99" s="6"/>
      <c r="E99" s="14"/>
      <c r="F99" s="14"/>
      <c r="G99" s="14"/>
      <c r="H99" s="14"/>
      <c r="I99" s="14"/>
      <c r="J99" s="14"/>
      <c r="K99" s="130">
        <v>5800</v>
      </c>
      <c r="L99" s="130">
        <v>5800</v>
      </c>
      <c r="M99" s="356">
        <f t="shared" si="23"/>
        <v>1</v>
      </c>
      <c r="N99" s="130">
        <f t="shared" si="29"/>
        <v>5800</v>
      </c>
      <c r="O99" s="130">
        <v>0</v>
      </c>
      <c r="P99" s="354"/>
      <c r="Q99" s="355">
        <v>0</v>
      </c>
      <c r="R99" s="356"/>
      <c r="S99" s="356"/>
      <c r="T99" s="492"/>
    </row>
    <row r="100" spans="1:20" s="167" customFormat="1" ht="12.75" customHeight="1">
      <c r="A100" s="515"/>
      <c r="B100" s="145" t="s">
        <v>16</v>
      </c>
      <c r="C100" s="129" t="s">
        <v>99</v>
      </c>
      <c r="D100" s="6"/>
      <c r="E100" s="14"/>
      <c r="F100" s="14"/>
      <c r="G100" s="14"/>
      <c r="H100" s="14">
        <v>7700</v>
      </c>
      <c r="I100" s="14">
        <v>0</v>
      </c>
      <c r="J100" s="14">
        <v>0</v>
      </c>
      <c r="K100" s="130">
        <v>3814</v>
      </c>
      <c r="L100" s="130">
        <v>3814</v>
      </c>
      <c r="M100" s="356">
        <f t="shared" si="23"/>
        <v>1</v>
      </c>
      <c r="N100" s="130">
        <f t="shared" si="29"/>
        <v>3814</v>
      </c>
      <c r="O100" s="130">
        <v>0</v>
      </c>
      <c r="P100" s="354"/>
      <c r="Q100" s="355">
        <v>0</v>
      </c>
      <c r="R100" s="356"/>
      <c r="S100" s="356"/>
      <c r="T100" s="492"/>
    </row>
    <row r="101" spans="1:20" s="167" customFormat="1" ht="12.75" customHeight="1">
      <c r="A101" s="515"/>
      <c r="B101" s="145" t="s">
        <v>316</v>
      </c>
      <c r="C101" s="129" t="s">
        <v>320</v>
      </c>
      <c r="D101" s="6"/>
      <c r="E101" s="14"/>
      <c r="F101" s="14"/>
      <c r="G101" s="14"/>
      <c r="H101" s="14"/>
      <c r="I101" s="14"/>
      <c r="J101" s="14"/>
      <c r="K101" s="130">
        <v>210</v>
      </c>
      <c r="L101" s="130">
        <v>250</v>
      </c>
      <c r="M101" s="356">
        <f t="shared" si="23"/>
        <v>1.1904761904761905</v>
      </c>
      <c r="N101" s="130">
        <f t="shared" si="29"/>
        <v>250</v>
      </c>
      <c r="O101" s="130"/>
      <c r="P101" s="354"/>
      <c r="Q101" s="355"/>
      <c r="R101" s="356"/>
      <c r="S101" s="356"/>
      <c r="T101" s="492"/>
    </row>
    <row r="102" spans="1:20" s="167" customFormat="1" ht="12.75" customHeight="1">
      <c r="A102" s="515"/>
      <c r="B102" s="145" t="s">
        <v>317</v>
      </c>
      <c r="C102" s="129" t="s">
        <v>321</v>
      </c>
      <c r="D102" s="6"/>
      <c r="E102" s="14"/>
      <c r="F102" s="14"/>
      <c r="G102" s="14"/>
      <c r="H102" s="14"/>
      <c r="I102" s="14"/>
      <c r="J102" s="14"/>
      <c r="K102" s="130">
        <v>1076</v>
      </c>
      <c r="L102" s="130">
        <v>1100</v>
      </c>
      <c r="M102" s="356">
        <f t="shared" si="23"/>
        <v>1.0223048327137547</v>
      </c>
      <c r="N102" s="130">
        <f t="shared" si="29"/>
        <v>1100</v>
      </c>
      <c r="O102" s="130"/>
      <c r="P102" s="354"/>
      <c r="Q102" s="355"/>
      <c r="R102" s="356"/>
      <c r="S102" s="356"/>
      <c r="T102" s="492"/>
    </row>
    <row r="103" spans="1:20" s="167" customFormat="1" ht="12.75" customHeight="1">
      <c r="A103" s="515"/>
      <c r="B103" s="145" t="s">
        <v>318</v>
      </c>
      <c r="C103" s="129" t="s">
        <v>322</v>
      </c>
      <c r="D103" s="6"/>
      <c r="E103" s="14"/>
      <c r="F103" s="14"/>
      <c r="G103" s="14"/>
      <c r="H103" s="14"/>
      <c r="I103" s="14"/>
      <c r="J103" s="14"/>
      <c r="K103" s="130">
        <v>1092</v>
      </c>
      <c r="L103" s="130">
        <v>1100</v>
      </c>
      <c r="M103" s="356">
        <f t="shared" si="23"/>
        <v>1.0073260073260073</v>
      </c>
      <c r="N103" s="130">
        <f t="shared" si="29"/>
        <v>1100</v>
      </c>
      <c r="O103" s="130"/>
      <c r="P103" s="354"/>
      <c r="Q103" s="355"/>
      <c r="R103" s="356"/>
      <c r="S103" s="356"/>
      <c r="T103" s="492"/>
    </row>
    <row r="104" spans="1:20" s="167" customFormat="1" ht="12.75" customHeight="1">
      <c r="A104" s="515"/>
      <c r="B104" s="145" t="s">
        <v>319</v>
      </c>
      <c r="C104" s="129" t="s">
        <v>323</v>
      </c>
      <c r="D104" s="6"/>
      <c r="E104" s="14"/>
      <c r="F104" s="14"/>
      <c r="G104" s="14"/>
      <c r="H104" s="14"/>
      <c r="I104" s="14"/>
      <c r="J104" s="14"/>
      <c r="K104" s="130">
        <v>1523</v>
      </c>
      <c r="L104" s="130">
        <v>1550</v>
      </c>
      <c r="M104" s="356">
        <f t="shared" si="23"/>
        <v>1.0177281680892973</v>
      </c>
      <c r="N104" s="130">
        <f t="shared" si="29"/>
        <v>1550</v>
      </c>
      <c r="O104" s="130"/>
      <c r="P104" s="354"/>
      <c r="Q104" s="355"/>
      <c r="R104" s="356"/>
      <c r="S104" s="356"/>
      <c r="T104" s="492"/>
    </row>
    <row r="105" spans="1:20" s="166" customFormat="1" ht="15.75" customHeight="1">
      <c r="A105" s="513" t="s">
        <v>66</v>
      </c>
      <c r="B105" s="509"/>
      <c r="C105" s="327" t="s">
        <v>67</v>
      </c>
      <c r="D105" s="326" t="e">
        <f>D107+D108+D109+#REF!+D124+#REF!</f>
        <v>#REF!</v>
      </c>
      <c r="E105" s="326" t="e">
        <f>E107+E108+E109+E111+#REF!+#REF!+E112+E113+#REF!+E115+E120+E122+E123+E124+#REF!+#REF!</f>
        <v>#REF!</v>
      </c>
      <c r="F105" s="326" t="e">
        <f>F107+F108+F109+F111+#REF!+#REF!+F112+F113+#REF!+F115+F120+F122+F123+F124+#REF!+#REF!</f>
        <v>#REF!</v>
      </c>
      <c r="G105" s="326" t="e">
        <f>G107+G108+G109+G111+#REF!+#REF!+G112+G113+#REF!+G115+G120+G122+G123+G124+#REF!+#REF!</f>
        <v>#REF!</v>
      </c>
      <c r="H105" s="326" t="e">
        <f>H107+H108+H109+H111+H106+#REF!+H112+H113+#REF!+H115+H120+H122+H123+#REF!+H124+H125+#REF!+H121</f>
        <v>#REF!</v>
      </c>
      <c r="I105" s="326" t="e">
        <f>I107+I108+I109+I111+I106+#REF!+I112+I113+#REF!+I115+I120+I122+I123+#REF!+I124+I125+#REF!+I121</f>
        <v>#REF!</v>
      </c>
      <c r="J105" s="326" t="e">
        <f>J107+J108+J109+J111+J106+#REF!+J112+J113+#REF!+J115+J120+J122+J123+#REF!+J124+J125+#REF!+J121</f>
        <v>#REF!</v>
      </c>
      <c r="K105" s="353">
        <f>SUM(K106:K131)</f>
        <v>2383616</v>
      </c>
      <c r="L105" s="353">
        <f>SUM(L106:L131)</f>
        <v>2509315</v>
      </c>
      <c r="M105" s="539">
        <f t="shared" si="23"/>
        <v>1.0527345847653313</v>
      </c>
      <c r="N105" s="353">
        <f aca="true" t="shared" si="30" ref="N105:T105">SUM(N106:N131)</f>
        <v>2467315</v>
      </c>
      <c r="O105" s="353">
        <f t="shared" si="30"/>
        <v>1641569</v>
      </c>
      <c r="P105" s="353">
        <f t="shared" si="30"/>
        <v>207005</v>
      </c>
      <c r="Q105" s="353">
        <f t="shared" si="30"/>
        <v>10000</v>
      </c>
      <c r="R105" s="353">
        <f t="shared" si="30"/>
        <v>0</v>
      </c>
      <c r="S105" s="353">
        <f t="shared" si="30"/>
        <v>0</v>
      </c>
      <c r="T105" s="491">
        <f t="shared" si="30"/>
        <v>42000</v>
      </c>
    </row>
    <row r="106" spans="1:20" s="167" customFormat="1" ht="16.5" customHeight="1">
      <c r="A106" s="515"/>
      <c r="B106" s="145" t="s">
        <v>910</v>
      </c>
      <c r="C106" s="129" t="s">
        <v>815</v>
      </c>
      <c r="D106" s="6"/>
      <c r="E106" s="14"/>
      <c r="F106" s="14"/>
      <c r="G106" s="14"/>
      <c r="H106" s="14">
        <v>216</v>
      </c>
      <c r="I106" s="14">
        <v>0</v>
      </c>
      <c r="J106" s="14">
        <v>0</v>
      </c>
      <c r="K106" s="130">
        <v>1380</v>
      </c>
      <c r="L106" s="130">
        <v>1380</v>
      </c>
      <c r="M106" s="356">
        <f t="shared" si="23"/>
        <v>1</v>
      </c>
      <c r="N106" s="130">
        <f>L106</f>
        <v>1380</v>
      </c>
      <c r="O106" s="130">
        <v>0</v>
      </c>
      <c r="P106" s="354"/>
      <c r="Q106" s="355">
        <v>0</v>
      </c>
      <c r="R106" s="356"/>
      <c r="S106" s="356"/>
      <c r="T106" s="492"/>
    </row>
    <row r="107" spans="1:20" s="167" customFormat="1" ht="15.75" customHeight="1">
      <c r="A107" s="515"/>
      <c r="B107" s="145" t="s">
        <v>2</v>
      </c>
      <c r="C107" s="129" t="s">
        <v>858</v>
      </c>
      <c r="D107" s="6">
        <v>1172382</v>
      </c>
      <c r="E107" s="14">
        <v>1396150</v>
      </c>
      <c r="F107" s="14">
        <v>0</v>
      </c>
      <c r="G107" s="14">
        <v>0</v>
      </c>
      <c r="H107" s="14">
        <v>1069576</v>
      </c>
      <c r="I107" s="14">
        <v>0</v>
      </c>
      <c r="J107" s="14">
        <v>0</v>
      </c>
      <c r="K107" s="130">
        <v>1336494</v>
      </c>
      <c r="L107" s="130">
        <v>1524325</v>
      </c>
      <c r="M107" s="356">
        <f t="shared" si="23"/>
        <v>1.140540099693676</v>
      </c>
      <c r="N107" s="130">
        <f aca="true" t="shared" si="31" ref="N107:N131">L107</f>
        <v>1524325</v>
      </c>
      <c r="O107" s="130">
        <f>N107</f>
        <v>1524325</v>
      </c>
      <c r="P107" s="354"/>
      <c r="Q107" s="355">
        <v>0</v>
      </c>
      <c r="R107" s="356"/>
      <c r="S107" s="356"/>
      <c r="T107" s="492"/>
    </row>
    <row r="108" spans="1:20" s="167" customFormat="1" ht="16.5" customHeight="1">
      <c r="A108" s="515"/>
      <c r="B108" s="145" t="s">
        <v>6</v>
      </c>
      <c r="C108" s="129" t="s">
        <v>7</v>
      </c>
      <c r="D108" s="6">
        <v>77447</v>
      </c>
      <c r="E108" s="14">
        <v>95133</v>
      </c>
      <c r="F108" s="14">
        <v>0</v>
      </c>
      <c r="G108" s="14">
        <v>0</v>
      </c>
      <c r="H108" s="14">
        <v>81433</v>
      </c>
      <c r="I108" s="14">
        <v>0</v>
      </c>
      <c r="J108" s="14">
        <v>0</v>
      </c>
      <c r="K108" s="130">
        <v>104945</v>
      </c>
      <c r="L108" s="130">
        <v>114244</v>
      </c>
      <c r="M108" s="356">
        <f t="shared" si="23"/>
        <v>1.0886083186430988</v>
      </c>
      <c r="N108" s="130">
        <f t="shared" si="31"/>
        <v>114244</v>
      </c>
      <c r="O108" s="130">
        <f>N108</f>
        <v>114244</v>
      </c>
      <c r="P108" s="354"/>
      <c r="Q108" s="355">
        <v>0</v>
      </c>
      <c r="R108" s="356"/>
      <c r="S108" s="356"/>
      <c r="T108" s="492"/>
    </row>
    <row r="109" spans="1:20" s="167" customFormat="1" ht="15" customHeight="1">
      <c r="A109" s="515"/>
      <c r="B109" s="519" t="s">
        <v>56</v>
      </c>
      <c r="C109" s="129" t="s">
        <v>34</v>
      </c>
      <c r="D109" s="6">
        <v>236159</v>
      </c>
      <c r="E109" s="14">
        <v>262390</v>
      </c>
      <c r="F109" s="14">
        <v>0</v>
      </c>
      <c r="G109" s="14">
        <v>0</v>
      </c>
      <c r="H109" s="14">
        <v>195558</v>
      </c>
      <c r="I109" s="14">
        <v>0</v>
      </c>
      <c r="J109" s="14">
        <v>0</v>
      </c>
      <c r="K109" s="130">
        <v>221471</v>
      </c>
      <c r="L109" s="130">
        <v>177250</v>
      </c>
      <c r="M109" s="356">
        <f t="shared" si="23"/>
        <v>0.8003305173137792</v>
      </c>
      <c r="N109" s="130">
        <f t="shared" si="31"/>
        <v>177250</v>
      </c>
      <c r="O109" s="130">
        <v>0</v>
      </c>
      <c r="P109" s="354">
        <f>N109</f>
        <v>177250</v>
      </c>
      <c r="Q109" s="355">
        <v>0</v>
      </c>
      <c r="R109" s="356"/>
      <c r="S109" s="356"/>
      <c r="T109" s="492"/>
    </row>
    <row r="110" spans="1:20" s="167" customFormat="1" ht="15" customHeight="1">
      <c r="A110" s="515"/>
      <c r="B110" s="519" t="s">
        <v>735</v>
      </c>
      <c r="C110" s="129" t="s">
        <v>736</v>
      </c>
      <c r="D110" s="6"/>
      <c r="E110" s="14"/>
      <c r="F110" s="14"/>
      <c r="G110" s="14"/>
      <c r="H110" s="14"/>
      <c r="I110" s="14"/>
      <c r="J110" s="14"/>
      <c r="K110" s="130">
        <v>3000</v>
      </c>
      <c r="L110" s="130">
        <v>3000</v>
      </c>
      <c r="M110" s="356">
        <f t="shared" si="23"/>
        <v>1</v>
      </c>
      <c r="N110" s="130">
        <f t="shared" si="31"/>
        <v>3000</v>
      </c>
      <c r="O110" s="130">
        <f>N110</f>
        <v>3000</v>
      </c>
      <c r="P110" s="354"/>
      <c r="Q110" s="355">
        <v>0</v>
      </c>
      <c r="R110" s="356"/>
      <c r="S110" s="356"/>
      <c r="T110" s="492"/>
    </row>
    <row r="111" spans="1:20" s="167" customFormat="1" ht="13.5" customHeight="1">
      <c r="A111" s="515"/>
      <c r="B111" s="519" t="s">
        <v>8</v>
      </c>
      <c r="C111" s="129" t="s">
        <v>9</v>
      </c>
      <c r="D111" s="6"/>
      <c r="E111" s="14">
        <v>35746</v>
      </c>
      <c r="F111" s="14">
        <v>0</v>
      </c>
      <c r="G111" s="14">
        <v>0</v>
      </c>
      <c r="H111" s="14">
        <v>27881</v>
      </c>
      <c r="I111" s="14">
        <v>0</v>
      </c>
      <c r="J111" s="14">
        <v>0</v>
      </c>
      <c r="K111" s="130">
        <v>33658</v>
      </c>
      <c r="L111" s="130">
        <v>29755</v>
      </c>
      <c r="M111" s="356">
        <f t="shared" si="23"/>
        <v>0.8840394557014677</v>
      </c>
      <c r="N111" s="130">
        <f t="shared" si="31"/>
        <v>29755</v>
      </c>
      <c r="O111" s="130">
        <v>0</v>
      </c>
      <c r="P111" s="354">
        <f>N111</f>
        <v>29755</v>
      </c>
      <c r="Q111" s="355">
        <v>0</v>
      </c>
      <c r="R111" s="356"/>
      <c r="S111" s="356"/>
      <c r="T111" s="492"/>
    </row>
    <row r="112" spans="1:20" s="167" customFormat="1" ht="15.75" customHeight="1">
      <c r="A112" s="515"/>
      <c r="B112" s="145" t="s">
        <v>10</v>
      </c>
      <c r="C112" s="129" t="s">
        <v>11</v>
      </c>
      <c r="D112" s="6"/>
      <c r="E112" s="14">
        <v>125516</v>
      </c>
      <c r="F112" s="14">
        <v>18656</v>
      </c>
      <c r="G112" s="14">
        <v>0</v>
      </c>
      <c r="H112" s="14">
        <v>70370</v>
      </c>
      <c r="I112" s="14">
        <v>0</v>
      </c>
      <c r="J112" s="14">
        <v>0</v>
      </c>
      <c r="K112" s="130">
        <v>66113</v>
      </c>
      <c r="L112" s="130">
        <v>50070</v>
      </c>
      <c r="M112" s="356">
        <f t="shared" si="23"/>
        <v>0.7573397062604934</v>
      </c>
      <c r="N112" s="130">
        <f t="shared" si="31"/>
        <v>50070</v>
      </c>
      <c r="O112" s="130">
        <v>0</v>
      </c>
      <c r="P112" s="354"/>
      <c r="Q112" s="355">
        <v>0</v>
      </c>
      <c r="R112" s="356"/>
      <c r="S112" s="356"/>
      <c r="T112" s="492"/>
    </row>
    <row r="113" spans="1:20" s="167" customFormat="1" ht="15.75" customHeight="1">
      <c r="A113" s="515"/>
      <c r="B113" s="145" t="s">
        <v>12</v>
      </c>
      <c r="C113" s="129" t="s">
        <v>97</v>
      </c>
      <c r="D113" s="6"/>
      <c r="E113" s="14">
        <v>60600</v>
      </c>
      <c r="F113" s="14">
        <v>0</v>
      </c>
      <c r="G113" s="14">
        <v>0</v>
      </c>
      <c r="H113" s="14">
        <v>70000</v>
      </c>
      <c r="I113" s="14">
        <v>0</v>
      </c>
      <c r="J113" s="14">
        <v>0</v>
      </c>
      <c r="K113" s="130">
        <v>65000</v>
      </c>
      <c r="L113" s="130">
        <v>65000</v>
      </c>
      <c r="M113" s="356">
        <f t="shared" si="23"/>
        <v>1</v>
      </c>
      <c r="N113" s="130">
        <f t="shared" si="31"/>
        <v>65000</v>
      </c>
      <c r="O113" s="130">
        <v>0</v>
      </c>
      <c r="P113" s="354"/>
      <c r="Q113" s="355">
        <v>0</v>
      </c>
      <c r="R113" s="356"/>
      <c r="S113" s="356"/>
      <c r="T113" s="492"/>
    </row>
    <row r="114" spans="1:20" s="167" customFormat="1" ht="15.75" customHeight="1">
      <c r="A114" s="515"/>
      <c r="B114" s="145" t="s">
        <v>76</v>
      </c>
      <c r="C114" s="129" t="s">
        <v>77</v>
      </c>
      <c r="D114" s="6"/>
      <c r="E114" s="14"/>
      <c r="F114" s="14"/>
      <c r="G114" s="14"/>
      <c r="H114" s="14"/>
      <c r="I114" s="14"/>
      <c r="J114" s="14"/>
      <c r="K114" s="130">
        <v>1634</v>
      </c>
      <c r="L114" s="130">
        <v>1500</v>
      </c>
      <c r="M114" s="356">
        <f t="shared" si="23"/>
        <v>0.9179926560587516</v>
      </c>
      <c r="N114" s="130">
        <f t="shared" si="31"/>
        <v>1500</v>
      </c>
      <c r="O114" s="130">
        <v>0</v>
      </c>
      <c r="P114" s="354"/>
      <c r="Q114" s="355">
        <v>0</v>
      </c>
      <c r="R114" s="356"/>
      <c r="S114" s="356"/>
      <c r="T114" s="492"/>
    </row>
    <row r="115" spans="1:20" s="167" customFormat="1" ht="13.5" customHeight="1">
      <c r="A115" s="515"/>
      <c r="B115" s="145" t="s">
        <v>16</v>
      </c>
      <c r="C115" s="129" t="s">
        <v>99</v>
      </c>
      <c r="D115" s="6"/>
      <c r="E115" s="14">
        <v>427481</v>
      </c>
      <c r="F115" s="14">
        <v>18859</v>
      </c>
      <c r="G115" s="14">
        <v>0</v>
      </c>
      <c r="H115" s="14">
        <v>385087</v>
      </c>
      <c r="I115" s="14">
        <v>0</v>
      </c>
      <c r="J115" s="14">
        <v>0</v>
      </c>
      <c r="K115" s="130">
        <v>440783</v>
      </c>
      <c r="L115" s="130">
        <v>387000</v>
      </c>
      <c r="M115" s="356">
        <f t="shared" si="23"/>
        <v>0.8779830438106733</v>
      </c>
      <c r="N115" s="130">
        <f t="shared" si="31"/>
        <v>387000</v>
      </c>
      <c r="O115" s="130">
        <v>0</v>
      </c>
      <c r="P115" s="354"/>
      <c r="Q115" s="355">
        <v>0</v>
      </c>
      <c r="R115" s="356"/>
      <c r="S115" s="356"/>
      <c r="T115" s="492"/>
    </row>
    <row r="116" spans="1:20" s="167" customFormat="1" ht="13.5" customHeight="1">
      <c r="A116" s="515"/>
      <c r="B116" s="145" t="s">
        <v>737</v>
      </c>
      <c r="C116" s="129" t="s">
        <v>533</v>
      </c>
      <c r="D116" s="6"/>
      <c r="E116" s="14"/>
      <c r="F116" s="14"/>
      <c r="G116" s="14"/>
      <c r="H116" s="14"/>
      <c r="I116" s="14"/>
      <c r="J116" s="14"/>
      <c r="K116" s="130">
        <v>3600</v>
      </c>
      <c r="L116" s="130">
        <v>3600</v>
      </c>
      <c r="M116" s="356">
        <f t="shared" si="23"/>
        <v>1</v>
      </c>
      <c r="N116" s="130">
        <f t="shared" si="31"/>
        <v>3600</v>
      </c>
      <c r="O116" s="130">
        <v>0</v>
      </c>
      <c r="P116" s="354"/>
      <c r="Q116" s="355">
        <v>0</v>
      </c>
      <c r="R116" s="356"/>
      <c r="S116" s="356"/>
      <c r="T116" s="492"/>
    </row>
    <row r="117" spans="1:20" s="167" customFormat="1" ht="13.5" customHeight="1">
      <c r="A117" s="515"/>
      <c r="B117" s="145" t="s">
        <v>324</v>
      </c>
      <c r="C117" s="129" t="s">
        <v>326</v>
      </c>
      <c r="D117" s="6"/>
      <c r="E117" s="14"/>
      <c r="F117" s="14"/>
      <c r="G117" s="14"/>
      <c r="H117" s="14"/>
      <c r="I117" s="14"/>
      <c r="J117" s="14"/>
      <c r="K117" s="130">
        <v>8234</v>
      </c>
      <c r="L117" s="130">
        <v>8234</v>
      </c>
      <c r="M117" s="356">
        <f t="shared" si="23"/>
        <v>1</v>
      </c>
      <c r="N117" s="130">
        <f t="shared" si="31"/>
        <v>8234</v>
      </c>
      <c r="O117" s="130"/>
      <c r="P117" s="354"/>
      <c r="Q117" s="355"/>
      <c r="R117" s="356"/>
      <c r="S117" s="356"/>
      <c r="T117" s="492"/>
    </row>
    <row r="118" spans="1:20" s="167" customFormat="1" ht="13.5" customHeight="1">
      <c r="A118" s="515"/>
      <c r="B118" s="145" t="s">
        <v>316</v>
      </c>
      <c r="C118" s="129" t="s">
        <v>320</v>
      </c>
      <c r="D118" s="6"/>
      <c r="E118" s="14"/>
      <c r="F118" s="14"/>
      <c r="G118" s="14"/>
      <c r="H118" s="14"/>
      <c r="I118" s="14"/>
      <c r="J118" s="14"/>
      <c r="K118" s="130">
        <v>22491</v>
      </c>
      <c r="L118" s="130">
        <v>22491</v>
      </c>
      <c r="M118" s="356">
        <f t="shared" si="23"/>
        <v>1</v>
      </c>
      <c r="N118" s="130">
        <f t="shared" si="31"/>
        <v>22491</v>
      </c>
      <c r="O118" s="130"/>
      <c r="P118" s="354"/>
      <c r="Q118" s="355"/>
      <c r="R118" s="356"/>
      <c r="S118" s="356"/>
      <c r="T118" s="492"/>
    </row>
    <row r="119" spans="1:20" s="167" customFormat="1" ht="13.5" customHeight="1">
      <c r="A119" s="515"/>
      <c r="B119" s="145" t="s">
        <v>325</v>
      </c>
      <c r="C119" s="129" t="s">
        <v>327</v>
      </c>
      <c r="D119" s="6"/>
      <c r="E119" s="14"/>
      <c r="F119" s="14"/>
      <c r="G119" s="14"/>
      <c r="H119" s="14"/>
      <c r="I119" s="14"/>
      <c r="J119" s="14"/>
      <c r="K119" s="130">
        <v>125</v>
      </c>
      <c r="L119" s="130">
        <v>130</v>
      </c>
      <c r="M119" s="356">
        <f t="shared" si="23"/>
        <v>1.04</v>
      </c>
      <c r="N119" s="130">
        <f t="shared" si="31"/>
        <v>130</v>
      </c>
      <c r="O119" s="130"/>
      <c r="P119" s="354"/>
      <c r="Q119" s="355"/>
      <c r="R119" s="356"/>
      <c r="S119" s="356"/>
      <c r="T119" s="492"/>
    </row>
    <row r="120" spans="1:20" s="167" customFormat="1" ht="14.25" customHeight="1">
      <c r="A120" s="515"/>
      <c r="B120" s="145" t="s">
        <v>18</v>
      </c>
      <c r="C120" s="129" t="s">
        <v>19</v>
      </c>
      <c r="D120" s="6"/>
      <c r="E120" s="14">
        <v>10250</v>
      </c>
      <c r="F120" s="14">
        <v>761</v>
      </c>
      <c r="G120" s="14">
        <v>0</v>
      </c>
      <c r="H120" s="14">
        <v>7000</v>
      </c>
      <c r="I120" s="14">
        <v>0</v>
      </c>
      <c r="J120" s="14">
        <v>0</v>
      </c>
      <c r="K120" s="130">
        <v>10500</v>
      </c>
      <c r="L120" s="130">
        <v>10500</v>
      </c>
      <c r="M120" s="356">
        <f t="shared" si="23"/>
        <v>1</v>
      </c>
      <c r="N120" s="130">
        <f t="shared" si="31"/>
        <v>10500</v>
      </c>
      <c r="O120" s="130">
        <v>0</v>
      </c>
      <c r="P120" s="354"/>
      <c r="Q120" s="355">
        <v>0</v>
      </c>
      <c r="R120" s="356"/>
      <c r="S120" s="356"/>
      <c r="T120" s="492"/>
    </row>
    <row r="121" spans="1:20" s="167" customFormat="1" ht="14.25" customHeight="1">
      <c r="A121" s="515"/>
      <c r="B121" s="145" t="s">
        <v>884</v>
      </c>
      <c r="C121" s="129" t="s">
        <v>885</v>
      </c>
      <c r="D121" s="6"/>
      <c r="E121" s="14"/>
      <c r="F121" s="14"/>
      <c r="G121" s="14"/>
      <c r="H121" s="14">
        <v>1000</v>
      </c>
      <c r="I121" s="14">
        <v>0</v>
      </c>
      <c r="J121" s="14">
        <v>0</v>
      </c>
      <c r="K121" s="130">
        <v>495</v>
      </c>
      <c r="L121" s="130">
        <v>500</v>
      </c>
      <c r="M121" s="356">
        <f t="shared" si="23"/>
        <v>1.0101010101010102</v>
      </c>
      <c r="N121" s="130">
        <f t="shared" si="31"/>
        <v>500</v>
      </c>
      <c r="O121" s="130">
        <v>0</v>
      </c>
      <c r="P121" s="354"/>
      <c r="Q121" s="355">
        <v>0</v>
      </c>
      <c r="R121" s="356"/>
      <c r="S121" s="356"/>
      <c r="T121" s="492"/>
    </row>
    <row r="122" spans="1:20" s="167" customFormat="1" ht="15.75" customHeight="1">
      <c r="A122" s="515"/>
      <c r="B122" s="145" t="s">
        <v>20</v>
      </c>
      <c r="C122" s="129" t="s">
        <v>21</v>
      </c>
      <c r="D122" s="6"/>
      <c r="E122" s="14">
        <v>14454</v>
      </c>
      <c r="F122" s="14">
        <v>0</v>
      </c>
      <c r="G122" s="14">
        <v>761</v>
      </c>
      <c r="H122" s="14">
        <v>11800</v>
      </c>
      <c r="I122" s="14">
        <v>0</v>
      </c>
      <c r="J122" s="14">
        <v>0</v>
      </c>
      <c r="K122" s="130">
        <v>666</v>
      </c>
      <c r="L122" s="130">
        <v>686</v>
      </c>
      <c r="M122" s="356">
        <f t="shared" si="23"/>
        <v>1.03003003003003</v>
      </c>
      <c r="N122" s="130">
        <f t="shared" si="31"/>
        <v>686</v>
      </c>
      <c r="O122" s="130">
        <v>0</v>
      </c>
      <c r="P122" s="354"/>
      <c r="Q122" s="355">
        <v>0</v>
      </c>
      <c r="R122" s="356"/>
      <c r="S122" s="356"/>
      <c r="T122" s="492"/>
    </row>
    <row r="123" spans="1:20" s="167" customFormat="1" ht="15.75" customHeight="1">
      <c r="A123" s="515"/>
      <c r="B123" s="145" t="s">
        <v>22</v>
      </c>
      <c r="C123" s="129" t="s">
        <v>23</v>
      </c>
      <c r="D123" s="6"/>
      <c r="E123" s="14">
        <v>40505</v>
      </c>
      <c r="F123" s="14">
        <v>0</v>
      </c>
      <c r="G123" s="14">
        <v>0</v>
      </c>
      <c r="H123" s="14">
        <v>29427</v>
      </c>
      <c r="I123" s="14">
        <v>0</v>
      </c>
      <c r="J123" s="14">
        <v>0</v>
      </c>
      <c r="K123" s="130">
        <v>32430</v>
      </c>
      <c r="L123" s="130">
        <v>33500</v>
      </c>
      <c r="M123" s="356">
        <f t="shared" si="23"/>
        <v>1.0329941412272587</v>
      </c>
      <c r="N123" s="130">
        <f t="shared" si="31"/>
        <v>33500</v>
      </c>
      <c r="O123" s="130">
        <v>0</v>
      </c>
      <c r="P123" s="354"/>
      <c r="Q123" s="355">
        <v>0</v>
      </c>
      <c r="R123" s="356"/>
      <c r="S123" s="356"/>
      <c r="T123" s="492"/>
    </row>
    <row r="124" spans="1:20" s="167" customFormat="1" ht="15.75" customHeight="1">
      <c r="A124" s="516"/>
      <c r="B124" s="519" t="s">
        <v>38</v>
      </c>
      <c r="C124" s="129" t="s">
        <v>39</v>
      </c>
      <c r="D124" s="6">
        <v>41000</v>
      </c>
      <c r="E124" s="14">
        <v>17600</v>
      </c>
      <c r="F124" s="14">
        <v>0</v>
      </c>
      <c r="G124" s="14">
        <v>0</v>
      </c>
      <c r="H124" s="14">
        <v>153</v>
      </c>
      <c r="I124" s="14">
        <v>0</v>
      </c>
      <c r="J124" s="14">
        <v>0</v>
      </c>
      <c r="K124" s="130">
        <v>184</v>
      </c>
      <c r="L124" s="130">
        <v>200</v>
      </c>
      <c r="M124" s="356">
        <f t="shared" si="23"/>
        <v>1.0869565217391304</v>
      </c>
      <c r="N124" s="130">
        <f t="shared" si="31"/>
        <v>200</v>
      </c>
      <c r="O124" s="130">
        <v>0</v>
      </c>
      <c r="P124" s="354"/>
      <c r="Q124" s="355">
        <v>0</v>
      </c>
      <c r="R124" s="356"/>
      <c r="S124" s="356"/>
      <c r="T124" s="492"/>
    </row>
    <row r="125" spans="1:20" s="167" customFormat="1" ht="16.5" customHeight="1">
      <c r="A125" s="516"/>
      <c r="B125" s="519" t="s">
        <v>761</v>
      </c>
      <c r="C125" s="129" t="s">
        <v>547</v>
      </c>
      <c r="D125" s="6"/>
      <c r="E125" s="14"/>
      <c r="F125" s="14"/>
      <c r="G125" s="14"/>
      <c r="H125" s="14">
        <v>500</v>
      </c>
      <c r="I125" s="14">
        <v>0</v>
      </c>
      <c r="J125" s="14">
        <v>0</v>
      </c>
      <c r="K125" s="130">
        <v>400</v>
      </c>
      <c r="L125" s="130">
        <v>450</v>
      </c>
      <c r="M125" s="356">
        <f t="shared" si="23"/>
        <v>1.125</v>
      </c>
      <c r="N125" s="130">
        <f t="shared" si="31"/>
        <v>450</v>
      </c>
      <c r="O125" s="130">
        <v>0</v>
      </c>
      <c r="P125" s="354"/>
      <c r="Q125" s="355">
        <v>0</v>
      </c>
      <c r="R125" s="356"/>
      <c r="S125" s="356"/>
      <c r="T125" s="492"/>
    </row>
    <row r="126" spans="1:20" s="167" customFormat="1" ht="21" customHeight="1">
      <c r="A126" s="516"/>
      <c r="B126" s="519" t="s">
        <v>317</v>
      </c>
      <c r="C126" s="129" t="s">
        <v>321</v>
      </c>
      <c r="D126" s="6"/>
      <c r="E126" s="14"/>
      <c r="F126" s="14"/>
      <c r="G126" s="14"/>
      <c r="H126" s="14"/>
      <c r="I126" s="14"/>
      <c r="J126" s="14"/>
      <c r="K126" s="130">
        <v>7233</v>
      </c>
      <c r="L126" s="130">
        <v>9500</v>
      </c>
      <c r="M126" s="356">
        <f t="shared" si="23"/>
        <v>1.3134245817779622</v>
      </c>
      <c r="N126" s="130">
        <f t="shared" si="31"/>
        <v>9500</v>
      </c>
      <c r="O126" s="130"/>
      <c r="P126" s="354"/>
      <c r="Q126" s="355"/>
      <c r="R126" s="356"/>
      <c r="S126" s="356"/>
      <c r="T126" s="492"/>
    </row>
    <row r="127" spans="1:20" s="167" customFormat="1" ht="13.5" customHeight="1">
      <c r="A127" s="516"/>
      <c r="B127" s="519" t="s">
        <v>318</v>
      </c>
      <c r="C127" s="129" t="s">
        <v>322</v>
      </c>
      <c r="D127" s="6"/>
      <c r="E127" s="14"/>
      <c r="F127" s="14"/>
      <c r="G127" s="14"/>
      <c r="H127" s="14"/>
      <c r="I127" s="14"/>
      <c r="J127" s="14"/>
      <c r="K127" s="130">
        <v>3370</v>
      </c>
      <c r="L127" s="130">
        <v>4000</v>
      </c>
      <c r="M127" s="356">
        <f t="shared" si="23"/>
        <v>1.1869436201780414</v>
      </c>
      <c r="N127" s="130">
        <f t="shared" si="31"/>
        <v>4000</v>
      </c>
      <c r="O127" s="130"/>
      <c r="P127" s="354"/>
      <c r="Q127" s="355"/>
      <c r="R127" s="356"/>
      <c r="S127" s="356"/>
      <c r="T127" s="492"/>
    </row>
    <row r="128" spans="1:20" s="167" customFormat="1" ht="13.5" customHeight="1">
      <c r="A128" s="516"/>
      <c r="B128" s="519" t="s">
        <v>319</v>
      </c>
      <c r="C128" s="129" t="s">
        <v>323</v>
      </c>
      <c r="D128" s="6"/>
      <c r="E128" s="14"/>
      <c r="F128" s="14"/>
      <c r="G128" s="14"/>
      <c r="H128" s="14"/>
      <c r="I128" s="14"/>
      <c r="J128" s="14"/>
      <c r="K128" s="130">
        <v>9410</v>
      </c>
      <c r="L128" s="130">
        <v>10000</v>
      </c>
      <c r="M128" s="356">
        <f t="shared" si="23"/>
        <v>1.0626992561105206</v>
      </c>
      <c r="N128" s="130">
        <f t="shared" si="31"/>
        <v>10000</v>
      </c>
      <c r="O128" s="130"/>
      <c r="P128" s="354"/>
      <c r="Q128" s="355"/>
      <c r="R128" s="356"/>
      <c r="S128" s="356"/>
      <c r="T128" s="492"/>
    </row>
    <row r="129" spans="1:20" s="167" customFormat="1" ht="15.75" customHeight="1">
      <c r="A129" s="516"/>
      <c r="B129" s="519" t="s">
        <v>62</v>
      </c>
      <c r="C129" s="129" t="s">
        <v>912</v>
      </c>
      <c r="D129" s="6"/>
      <c r="E129" s="14"/>
      <c r="F129" s="14"/>
      <c r="G129" s="14"/>
      <c r="H129" s="14"/>
      <c r="I129" s="14"/>
      <c r="J129" s="14"/>
      <c r="K129" s="130">
        <v>10000</v>
      </c>
      <c r="L129" s="130">
        <v>10000</v>
      </c>
      <c r="M129" s="356">
        <f t="shared" si="23"/>
        <v>1</v>
      </c>
      <c r="N129" s="130">
        <f t="shared" si="31"/>
        <v>10000</v>
      </c>
      <c r="O129" s="130">
        <v>0</v>
      </c>
      <c r="P129" s="354"/>
      <c r="Q129" s="355">
        <f>N129</f>
        <v>10000</v>
      </c>
      <c r="R129" s="356"/>
      <c r="S129" s="356"/>
      <c r="T129" s="492"/>
    </row>
    <row r="130" spans="1:20" s="167" customFormat="1" ht="54.75" customHeight="1">
      <c r="A130" s="515"/>
      <c r="B130" s="145" t="s">
        <v>713</v>
      </c>
      <c r="C130" s="129" t="s">
        <v>714</v>
      </c>
      <c r="D130" s="6"/>
      <c r="E130" s="14"/>
      <c r="F130" s="14"/>
      <c r="G130" s="14"/>
      <c r="H130" s="14"/>
      <c r="I130" s="14"/>
      <c r="J130" s="14"/>
      <c r="K130" s="130">
        <v>0</v>
      </c>
      <c r="L130" s="130">
        <v>42000</v>
      </c>
      <c r="M130" s="356">
        <v>0</v>
      </c>
      <c r="N130" s="130"/>
      <c r="O130" s="130">
        <v>0</v>
      </c>
      <c r="P130" s="354">
        <v>0</v>
      </c>
      <c r="Q130" s="355"/>
      <c r="R130" s="356"/>
      <c r="S130" s="356"/>
      <c r="T130" s="494">
        <f>L130</f>
        <v>42000</v>
      </c>
    </row>
    <row r="131" spans="1:20" s="167" customFormat="1" ht="20.25" customHeight="1">
      <c r="A131" s="515"/>
      <c r="B131" s="145" t="s">
        <v>42</v>
      </c>
      <c r="C131" s="129" t="s">
        <v>857</v>
      </c>
      <c r="D131" s="6"/>
      <c r="E131" s="14"/>
      <c r="F131" s="14"/>
      <c r="G131" s="14"/>
      <c r="H131" s="14"/>
      <c r="I131" s="14"/>
      <c r="J131" s="14"/>
      <c r="K131" s="130">
        <v>0</v>
      </c>
      <c r="L131" s="130">
        <v>0</v>
      </c>
      <c r="M131" s="356">
        <v>0</v>
      </c>
      <c r="N131" s="130">
        <f t="shared" si="31"/>
        <v>0</v>
      </c>
      <c r="O131" s="130">
        <v>0</v>
      </c>
      <c r="P131" s="354">
        <f>L131</f>
        <v>0</v>
      </c>
      <c r="Q131" s="355">
        <f>L131</f>
        <v>0</v>
      </c>
      <c r="R131" s="356"/>
      <c r="S131" s="356"/>
      <c r="T131" s="494">
        <f>L131</f>
        <v>0</v>
      </c>
    </row>
    <row r="132" spans="1:20" s="167" customFormat="1" ht="15" customHeight="1">
      <c r="A132" s="513" t="s">
        <v>68</v>
      </c>
      <c r="B132" s="509"/>
      <c r="C132" s="327" t="s">
        <v>69</v>
      </c>
      <c r="D132" s="326">
        <f>D134</f>
        <v>22000</v>
      </c>
      <c r="E132" s="326" t="e">
        <f>E134+E135+#REF!+E137+E138+E140</f>
        <v>#REF!</v>
      </c>
      <c r="F132" s="326" t="e">
        <f>F134+F135+#REF!+F137+F138+F140</f>
        <v>#REF!</v>
      </c>
      <c r="G132" s="326" t="e">
        <f>G134+G135+#REF!+G137+G138+G140</f>
        <v>#REF!</v>
      </c>
      <c r="H132" s="326">
        <f>H133+H134+H135+H137+H138+H140</f>
        <v>14177</v>
      </c>
      <c r="I132" s="326">
        <f>I133+I134+I135+I137+I138+I140</f>
        <v>0</v>
      </c>
      <c r="J132" s="326">
        <f>J133+J134+J135+J137+J138+J140</f>
        <v>0</v>
      </c>
      <c r="K132" s="353">
        <f>SUM(K133:K141)</f>
        <v>13000</v>
      </c>
      <c r="L132" s="353">
        <f>SUM(L133:L141)</f>
        <v>14000</v>
      </c>
      <c r="M132" s="539">
        <f t="shared" si="23"/>
        <v>1.0769230769230769</v>
      </c>
      <c r="N132" s="353">
        <f aca="true" t="shared" si="32" ref="N132:T132">SUM(N133:N141)</f>
        <v>14000</v>
      </c>
      <c r="O132" s="353">
        <f t="shared" si="32"/>
        <v>5800</v>
      </c>
      <c r="P132" s="353">
        <f t="shared" si="32"/>
        <v>958</v>
      </c>
      <c r="Q132" s="353">
        <f t="shared" si="32"/>
        <v>0</v>
      </c>
      <c r="R132" s="353">
        <f t="shared" si="32"/>
        <v>0</v>
      </c>
      <c r="S132" s="353">
        <f t="shared" si="32"/>
        <v>0</v>
      </c>
      <c r="T132" s="491">
        <f t="shared" si="32"/>
        <v>0</v>
      </c>
    </row>
    <row r="133" spans="1:20" s="167" customFormat="1" ht="16.5" customHeight="1">
      <c r="A133" s="516"/>
      <c r="B133" s="145" t="s">
        <v>1</v>
      </c>
      <c r="C133" s="129" t="s">
        <v>65</v>
      </c>
      <c r="D133" s="14"/>
      <c r="E133" s="14"/>
      <c r="F133" s="14"/>
      <c r="G133" s="14"/>
      <c r="H133" s="14">
        <v>5842</v>
      </c>
      <c r="I133" s="14">
        <v>0</v>
      </c>
      <c r="J133" s="14">
        <v>0</v>
      </c>
      <c r="K133" s="130">
        <v>5330</v>
      </c>
      <c r="L133" s="130">
        <v>5400</v>
      </c>
      <c r="M133" s="356">
        <f t="shared" si="23"/>
        <v>1.0131332082551594</v>
      </c>
      <c r="N133" s="130">
        <f>L133</f>
        <v>5400</v>
      </c>
      <c r="O133" s="130"/>
      <c r="P133" s="354">
        <v>0</v>
      </c>
      <c r="Q133" s="355">
        <v>0</v>
      </c>
      <c r="R133" s="356"/>
      <c r="S133" s="356"/>
      <c r="T133" s="492"/>
    </row>
    <row r="134" spans="1:20" s="167" customFormat="1" ht="15.75" customHeight="1">
      <c r="A134" s="515"/>
      <c r="B134" s="145" t="s">
        <v>33</v>
      </c>
      <c r="C134" s="129" t="s">
        <v>70</v>
      </c>
      <c r="D134" s="6">
        <v>22000</v>
      </c>
      <c r="E134" s="14">
        <v>963</v>
      </c>
      <c r="F134" s="14">
        <v>0</v>
      </c>
      <c r="G134" s="14">
        <v>0</v>
      </c>
      <c r="H134" s="14">
        <v>465</v>
      </c>
      <c r="I134" s="14">
        <v>0</v>
      </c>
      <c r="J134" s="14">
        <v>0</v>
      </c>
      <c r="K134" s="130">
        <v>775</v>
      </c>
      <c r="L134" s="130">
        <v>838</v>
      </c>
      <c r="M134" s="356">
        <f t="shared" si="23"/>
        <v>1.0812903225806452</v>
      </c>
      <c r="N134" s="130">
        <f aca="true" t="shared" si="33" ref="N134:N141">L134</f>
        <v>838</v>
      </c>
      <c r="O134" s="130"/>
      <c r="P134" s="354">
        <f>N134</f>
        <v>838</v>
      </c>
      <c r="Q134" s="355">
        <v>0</v>
      </c>
      <c r="R134" s="356"/>
      <c r="S134" s="356"/>
      <c r="T134" s="492"/>
    </row>
    <row r="135" spans="1:20" s="167" customFormat="1" ht="15.75" customHeight="1">
      <c r="A135" s="515"/>
      <c r="B135" s="145" t="s">
        <v>8</v>
      </c>
      <c r="C135" s="129" t="s">
        <v>9</v>
      </c>
      <c r="D135" s="6"/>
      <c r="E135" s="14">
        <v>132</v>
      </c>
      <c r="F135" s="14">
        <v>0</v>
      </c>
      <c r="G135" s="14">
        <v>0</v>
      </c>
      <c r="H135" s="14">
        <v>66</v>
      </c>
      <c r="I135" s="14">
        <v>0</v>
      </c>
      <c r="J135" s="14">
        <v>0</v>
      </c>
      <c r="K135" s="130">
        <v>110</v>
      </c>
      <c r="L135" s="130">
        <v>120</v>
      </c>
      <c r="M135" s="356">
        <f t="shared" si="23"/>
        <v>1.0909090909090908</v>
      </c>
      <c r="N135" s="130">
        <f t="shared" si="33"/>
        <v>120</v>
      </c>
      <c r="O135" s="130"/>
      <c r="P135" s="354">
        <f>N135</f>
        <v>120</v>
      </c>
      <c r="Q135" s="355">
        <v>0</v>
      </c>
      <c r="R135" s="356"/>
      <c r="S135" s="356"/>
      <c r="T135" s="492"/>
    </row>
    <row r="136" spans="1:20" s="167" customFormat="1" ht="15.75" customHeight="1">
      <c r="A136" s="515"/>
      <c r="B136" s="145" t="s">
        <v>735</v>
      </c>
      <c r="C136" s="129" t="s">
        <v>736</v>
      </c>
      <c r="D136" s="6"/>
      <c r="E136" s="14"/>
      <c r="F136" s="14"/>
      <c r="G136" s="14"/>
      <c r="H136" s="14"/>
      <c r="I136" s="14"/>
      <c r="J136" s="14"/>
      <c r="K136" s="130">
        <v>5400</v>
      </c>
      <c r="L136" s="130">
        <v>5800</v>
      </c>
      <c r="M136" s="356">
        <f t="shared" si="23"/>
        <v>1.0740740740740742</v>
      </c>
      <c r="N136" s="130">
        <f t="shared" si="33"/>
        <v>5800</v>
      </c>
      <c r="O136" s="130">
        <f>N136</f>
        <v>5800</v>
      </c>
      <c r="P136" s="354">
        <v>0</v>
      </c>
      <c r="Q136" s="355">
        <v>0</v>
      </c>
      <c r="R136" s="356"/>
      <c r="S136" s="356"/>
      <c r="T136" s="492"/>
    </row>
    <row r="137" spans="1:20" s="167" customFormat="1" ht="16.5" customHeight="1">
      <c r="A137" s="515"/>
      <c r="B137" s="145" t="s">
        <v>10</v>
      </c>
      <c r="C137" s="129" t="s">
        <v>11</v>
      </c>
      <c r="D137" s="6"/>
      <c r="E137" s="14">
        <v>6208</v>
      </c>
      <c r="F137" s="14">
        <v>0</v>
      </c>
      <c r="G137" s="14">
        <v>0</v>
      </c>
      <c r="H137" s="14">
        <v>3642</v>
      </c>
      <c r="I137" s="14">
        <v>0</v>
      </c>
      <c r="J137" s="14">
        <v>0</v>
      </c>
      <c r="K137" s="130">
        <v>687</v>
      </c>
      <c r="L137" s="130">
        <v>710</v>
      </c>
      <c r="M137" s="356">
        <f t="shared" si="23"/>
        <v>1.0334788937409025</v>
      </c>
      <c r="N137" s="130">
        <f t="shared" si="33"/>
        <v>710</v>
      </c>
      <c r="O137" s="130"/>
      <c r="P137" s="354">
        <v>0</v>
      </c>
      <c r="Q137" s="355">
        <v>0</v>
      </c>
      <c r="R137" s="356"/>
      <c r="S137" s="356"/>
      <c r="T137" s="492"/>
    </row>
    <row r="138" spans="1:20" s="167" customFormat="1" ht="15.75" customHeight="1">
      <c r="A138" s="515"/>
      <c r="B138" s="145" t="s">
        <v>16</v>
      </c>
      <c r="C138" s="129" t="s">
        <v>99</v>
      </c>
      <c r="D138" s="6"/>
      <c r="E138" s="14">
        <v>2165</v>
      </c>
      <c r="F138" s="14">
        <v>0</v>
      </c>
      <c r="G138" s="14">
        <v>0</v>
      </c>
      <c r="H138" s="14">
        <v>3948</v>
      </c>
      <c r="I138" s="14">
        <v>0</v>
      </c>
      <c r="J138" s="14">
        <v>0</v>
      </c>
      <c r="K138" s="130">
        <v>350</v>
      </c>
      <c r="L138" s="130">
        <v>932</v>
      </c>
      <c r="M138" s="356">
        <f aca="true" t="shared" si="34" ref="M138:M201">L138/K138</f>
        <v>2.662857142857143</v>
      </c>
      <c r="N138" s="130">
        <f t="shared" si="33"/>
        <v>932</v>
      </c>
      <c r="O138" s="130"/>
      <c r="P138" s="354">
        <v>0</v>
      </c>
      <c r="Q138" s="355">
        <v>0</v>
      </c>
      <c r="R138" s="356"/>
      <c r="S138" s="356"/>
      <c r="T138" s="492"/>
    </row>
    <row r="139" spans="1:20" s="167" customFormat="1" ht="15.75" customHeight="1">
      <c r="A139" s="515"/>
      <c r="B139" s="145" t="s">
        <v>316</v>
      </c>
      <c r="C139" s="129" t="s">
        <v>320</v>
      </c>
      <c r="D139" s="6"/>
      <c r="E139" s="14"/>
      <c r="F139" s="14"/>
      <c r="G139" s="14"/>
      <c r="H139" s="14"/>
      <c r="I139" s="14"/>
      <c r="J139" s="14"/>
      <c r="K139" s="130">
        <v>100</v>
      </c>
      <c r="L139" s="130">
        <v>100</v>
      </c>
      <c r="M139" s="356">
        <f t="shared" si="34"/>
        <v>1</v>
      </c>
      <c r="N139" s="130">
        <f t="shared" si="33"/>
        <v>100</v>
      </c>
      <c r="O139" s="130"/>
      <c r="P139" s="354"/>
      <c r="Q139" s="355"/>
      <c r="R139" s="356"/>
      <c r="S139" s="356"/>
      <c r="T139" s="492"/>
    </row>
    <row r="140" spans="1:20" s="167" customFormat="1" ht="15.75" customHeight="1">
      <c r="A140" s="515"/>
      <c r="B140" s="145" t="s">
        <v>18</v>
      </c>
      <c r="C140" s="129" t="s">
        <v>19</v>
      </c>
      <c r="D140" s="6"/>
      <c r="E140" s="14">
        <v>393</v>
      </c>
      <c r="F140" s="14">
        <v>0</v>
      </c>
      <c r="G140" s="14">
        <v>0</v>
      </c>
      <c r="H140" s="14">
        <v>214</v>
      </c>
      <c r="I140" s="14">
        <v>0</v>
      </c>
      <c r="J140" s="14">
        <v>0</v>
      </c>
      <c r="K140" s="130">
        <v>248</v>
      </c>
      <c r="L140" s="130">
        <v>0</v>
      </c>
      <c r="M140" s="356">
        <f t="shared" si="34"/>
        <v>0</v>
      </c>
      <c r="N140" s="130">
        <f t="shared" si="33"/>
        <v>0</v>
      </c>
      <c r="O140" s="130"/>
      <c r="P140" s="354">
        <v>0</v>
      </c>
      <c r="Q140" s="355">
        <v>0</v>
      </c>
      <c r="R140" s="356"/>
      <c r="S140" s="356"/>
      <c r="T140" s="492"/>
    </row>
    <row r="141" spans="1:20" s="167" customFormat="1" ht="15.75" customHeight="1">
      <c r="A141" s="515"/>
      <c r="B141" s="145" t="s">
        <v>318</v>
      </c>
      <c r="C141" s="129" t="s">
        <v>322</v>
      </c>
      <c r="D141" s="6"/>
      <c r="E141" s="14"/>
      <c r="F141" s="14"/>
      <c r="G141" s="14"/>
      <c r="H141" s="14"/>
      <c r="I141" s="14"/>
      <c r="J141" s="14"/>
      <c r="K141" s="130">
        <v>0</v>
      </c>
      <c r="L141" s="130">
        <v>100</v>
      </c>
      <c r="M141" s="356">
        <v>0</v>
      </c>
      <c r="N141" s="130">
        <f t="shared" si="33"/>
        <v>100</v>
      </c>
      <c r="O141" s="130"/>
      <c r="P141" s="354"/>
      <c r="Q141" s="355"/>
      <c r="R141" s="495"/>
      <c r="S141" s="356"/>
      <c r="T141" s="492"/>
    </row>
    <row r="142" spans="1:20" s="166" customFormat="1" ht="24.75" customHeight="1">
      <c r="A142" s="513" t="s">
        <v>375</v>
      </c>
      <c r="B142" s="509"/>
      <c r="C142" s="327" t="s">
        <v>376</v>
      </c>
      <c r="D142" s="326"/>
      <c r="E142" s="326"/>
      <c r="F142" s="326"/>
      <c r="G142" s="326"/>
      <c r="H142" s="326"/>
      <c r="I142" s="326"/>
      <c r="J142" s="326"/>
      <c r="K142" s="353">
        <f>SUM(K143:K146)</f>
        <v>13500</v>
      </c>
      <c r="L142" s="353">
        <f>SUM(L143:L146)</f>
        <v>13500</v>
      </c>
      <c r="M142" s="539">
        <f t="shared" si="34"/>
        <v>1</v>
      </c>
      <c r="N142" s="353">
        <f>SUM(N143:N146)</f>
        <v>13500</v>
      </c>
      <c r="O142" s="353">
        <f aca="true" t="shared" si="35" ref="O142:T142">SUM(O143:O146)</f>
        <v>1800</v>
      </c>
      <c r="P142" s="353">
        <f t="shared" si="35"/>
        <v>0</v>
      </c>
      <c r="Q142" s="353">
        <f t="shared" si="35"/>
        <v>0</v>
      </c>
      <c r="R142" s="353">
        <f t="shared" si="35"/>
        <v>0</v>
      </c>
      <c r="S142" s="353">
        <f t="shared" si="35"/>
        <v>0</v>
      </c>
      <c r="T142" s="491">
        <f t="shared" si="35"/>
        <v>0</v>
      </c>
    </row>
    <row r="143" spans="1:20" s="167" customFormat="1" ht="15.75" customHeight="1">
      <c r="A143" s="515"/>
      <c r="B143" s="145" t="s">
        <v>62</v>
      </c>
      <c r="C143" s="129" t="s">
        <v>377</v>
      </c>
      <c r="D143" s="6"/>
      <c r="E143" s="14"/>
      <c r="F143" s="14"/>
      <c r="G143" s="14"/>
      <c r="H143" s="14"/>
      <c r="I143" s="14"/>
      <c r="J143" s="14"/>
      <c r="K143" s="130">
        <v>0</v>
      </c>
      <c r="L143" s="130">
        <v>0</v>
      </c>
      <c r="M143" s="356">
        <v>0</v>
      </c>
      <c r="N143" s="130">
        <f>L143</f>
        <v>0</v>
      </c>
      <c r="O143" s="130">
        <v>0</v>
      </c>
      <c r="P143" s="354">
        <v>0</v>
      </c>
      <c r="Q143" s="355">
        <f>N143</f>
        <v>0</v>
      </c>
      <c r="R143" s="356"/>
      <c r="S143" s="356"/>
      <c r="T143" s="492"/>
    </row>
    <row r="144" spans="1:20" s="167" customFormat="1" ht="15.75" customHeight="1">
      <c r="A144" s="515"/>
      <c r="B144" s="145" t="s">
        <v>735</v>
      </c>
      <c r="C144" s="129" t="s">
        <v>378</v>
      </c>
      <c r="D144" s="6"/>
      <c r="E144" s="14"/>
      <c r="F144" s="14"/>
      <c r="G144" s="14"/>
      <c r="H144" s="14"/>
      <c r="I144" s="14"/>
      <c r="J144" s="14"/>
      <c r="K144" s="130">
        <v>1800</v>
      </c>
      <c r="L144" s="130">
        <v>1800</v>
      </c>
      <c r="M144" s="356">
        <f t="shared" si="34"/>
        <v>1</v>
      </c>
      <c r="N144" s="130">
        <f>L144</f>
        <v>1800</v>
      </c>
      <c r="O144" s="130">
        <f>N144</f>
        <v>1800</v>
      </c>
      <c r="P144" s="354"/>
      <c r="Q144" s="355">
        <v>0</v>
      </c>
      <c r="R144" s="356"/>
      <c r="S144" s="356"/>
      <c r="T144" s="492"/>
    </row>
    <row r="145" spans="1:20" s="167" customFormat="1" ht="15.75" customHeight="1">
      <c r="A145" s="515"/>
      <c r="B145" s="145" t="s">
        <v>10</v>
      </c>
      <c r="C145" s="129" t="s">
        <v>11</v>
      </c>
      <c r="D145" s="6"/>
      <c r="E145" s="14"/>
      <c r="F145" s="14"/>
      <c r="G145" s="14"/>
      <c r="H145" s="14"/>
      <c r="I145" s="14"/>
      <c r="J145" s="14"/>
      <c r="K145" s="130">
        <v>9000</v>
      </c>
      <c r="L145" s="130">
        <v>9000</v>
      </c>
      <c r="M145" s="356">
        <f t="shared" si="34"/>
        <v>1</v>
      </c>
      <c r="N145" s="130">
        <f>L145</f>
        <v>9000</v>
      </c>
      <c r="O145" s="130">
        <v>0</v>
      </c>
      <c r="P145" s="354"/>
      <c r="Q145" s="355">
        <v>0</v>
      </c>
      <c r="R145" s="356"/>
      <c r="S145" s="356"/>
      <c r="T145" s="492"/>
    </row>
    <row r="146" spans="1:20" s="197" customFormat="1" ht="15.75" customHeight="1">
      <c r="A146" s="523"/>
      <c r="B146" s="524" t="s">
        <v>16</v>
      </c>
      <c r="C146" s="131" t="s">
        <v>99</v>
      </c>
      <c r="D146" s="49"/>
      <c r="E146" s="73"/>
      <c r="F146" s="73"/>
      <c r="G146" s="73"/>
      <c r="H146" s="73"/>
      <c r="I146" s="73"/>
      <c r="J146" s="73"/>
      <c r="K146" s="133">
        <v>2700</v>
      </c>
      <c r="L146" s="133">
        <v>2700</v>
      </c>
      <c r="M146" s="356">
        <f t="shared" si="34"/>
        <v>1</v>
      </c>
      <c r="N146" s="130">
        <f>L146</f>
        <v>2700</v>
      </c>
      <c r="O146" s="130">
        <v>0</v>
      </c>
      <c r="P146" s="354"/>
      <c r="Q146" s="360">
        <v>0</v>
      </c>
      <c r="R146" s="356"/>
      <c r="S146" s="356"/>
      <c r="T146" s="492"/>
    </row>
    <row r="147" spans="1:20" s="197" customFormat="1" ht="15.75" customHeight="1">
      <c r="A147" s="513" t="s">
        <v>71</v>
      </c>
      <c r="B147" s="509"/>
      <c r="C147" s="327" t="s">
        <v>72</v>
      </c>
      <c r="D147" s="326" t="e">
        <f>#REF!</f>
        <v>#REF!</v>
      </c>
      <c r="E147" s="326" t="e">
        <f>#REF!+E151</f>
        <v>#REF!</v>
      </c>
      <c r="F147" s="326" t="e">
        <f>#REF!+F151</f>
        <v>#REF!</v>
      </c>
      <c r="G147" s="326" t="e">
        <f>#REF!+G151</f>
        <v>#REF!</v>
      </c>
      <c r="H147" s="326">
        <f>H149+H151</f>
        <v>8900</v>
      </c>
      <c r="I147" s="326">
        <f>I149+I151</f>
        <v>0</v>
      </c>
      <c r="J147" s="326">
        <f>J149+J151</f>
        <v>0</v>
      </c>
      <c r="K147" s="353">
        <f>SUM(K148:K151)</f>
        <v>17000</v>
      </c>
      <c r="L147" s="353">
        <f>SUM(L148:L151)</f>
        <v>13830</v>
      </c>
      <c r="M147" s="539">
        <f t="shared" si="34"/>
        <v>0.8135294117647058</v>
      </c>
      <c r="N147" s="353">
        <f aca="true" t="shared" si="36" ref="N147:T147">SUM(N148:N151)</f>
        <v>13830</v>
      </c>
      <c r="O147" s="353">
        <f t="shared" si="36"/>
        <v>0</v>
      </c>
      <c r="P147" s="353">
        <f t="shared" si="36"/>
        <v>0</v>
      </c>
      <c r="Q147" s="353">
        <f t="shared" si="36"/>
        <v>0</v>
      </c>
      <c r="R147" s="353">
        <f t="shared" si="36"/>
        <v>0</v>
      </c>
      <c r="S147" s="353">
        <f t="shared" si="36"/>
        <v>0</v>
      </c>
      <c r="T147" s="491">
        <f t="shared" si="36"/>
        <v>0</v>
      </c>
    </row>
    <row r="148" spans="1:20" s="197" customFormat="1" ht="15.75" customHeight="1">
      <c r="A148" s="515"/>
      <c r="B148" s="145" t="s">
        <v>735</v>
      </c>
      <c r="C148" s="129" t="s">
        <v>736</v>
      </c>
      <c r="D148" s="6"/>
      <c r="E148" s="14"/>
      <c r="F148" s="14"/>
      <c r="G148" s="14"/>
      <c r="H148" s="14"/>
      <c r="I148" s="14"/>
      <c r="J148" s="14"/>
      <c r="K148" s="130">
        <v>3000</v>
      </c>
      <c r="L148" s="130">
        <v>0</v>
      </c>
      <c r="M148" s="356">
        <f t="shared" si="34"/>
        <v>0</v>
      </c>
      <c r="N148" s="130">
        <f>L148</f>
        <v>0</v>
      </c>
      <c r="O148" s="130">
        <f>N148</f>
        <v>0</v>
      </c>
      <c r="P148" s="354"/>
      <c r="Q148" s="355">
        <v>0</v>
      </c>
      <c r="R148" s="356"/>
      <c r="S148" s="356"/>
      <c r="T148" s="492"/>
    </row>
    <row r="149" spans="1:20" s="167" customFormat="1" ht="15.75" customHeight="1">
      <c r="A149" s="515"/>
      <c r="B149" s="145" t="s">
        <v>10</v>
      </c>
      <c r="C149" s="129" t="s">
        <v>11</v>
      </c>
      <c r="D149" s="6"/>
      <c r="E149" s="14"/>
      <c r="F149" s="14"/>
      <c r="G149" s="14"/>
      <c r="H149" s="14">
        <v>800</v>
      </c>
      <c r="I149" s="14">
        <v>0</v>
      </c>
      <c r="J149" s="14">
        <v>0</v>
      </c>
      <c r="K149" s="130">
        <v>350</v>
      </c>
      <c r="L149" s="130">
        <v>350</v>
      </c>
      <c r="M149" s="356">
        <f t="shared" si="34"/>
        <v>1</v>
      </c>
      <c r="N149" s="130">
        <f>L149</f>
        <v>350</v>
      </c>
      <c r="O149" s="130">
        <v>0</v>
      </c>
      <c r="P149" s="354"/>
      <c r="Q149" s="355">
        <v>0</v>
      </c>
      <c r="R149" s="356"/>
      <c r="S149" s="356"/>
      <c r="T149" s="492"/>
    </row>
    <row r="150" spans="1:20" s="167" customFormat="1" ht="15.75" customHeight="1">
      <c r="A150" s="515"/>
      <c r="B150" s="145" t="s">
        <v>16</v>
      </c>
      <c r="C150" s="129" t="s">
        <v>99</v>
      </c>
      <c r="D150" s="6"/>
      <c r="E150" s="14"/>
      <c r="F150" s="14"/>
      <c r="G150" s="14"/>
      <c r="H150" s="14"/>
      <c r="I150" s="14"/>
      <c r="J150" s="14"/>
      <c r="K150" s="130">
        <v>1768</v>
      </c>
      <c r="L150" s="130">
        <v>1766</v>
      </c>
      <c r="M150" s="356">
        <f t="shared" si="34"/>
        <v>0.998868778280543</v>
      </c>
      <c r="N150" s="130">
        <f>L150</f>
        <v>1766</v>
      </c>
      <c r="O150" s="130">
        <v>0</v>
      </c>
      <c r="P150" s="354"/>
      <c r="Q150" s="355">
        <v>0</v>
      </c>
      <c r="R150" s="356"/>
      <c r="S150" s="356"/>
      <c r="T150" s="492"/>
    </row>
    <row r="151" spans="1:20" s="167" customFormat="1" ht="20.25" customHeight="1">
      <c r="A151" s="515"/>
      <c r="B151" s="145" t="s">
        <v>20</v>
      </c>
      <c r="C151" s="129" t="s">
        <v>21</v>
      </c>
      <c r="D151" s="6"/>
      <c r="E151" s="14">
        <v>7000</v>
      </c>
      <c r="F151" s="14">
        <v>0</v>
      </c>
      <c r="G151" s="14">
        <v>0</v>
      </c>
      <c r="H151" s="14">
        <v>8100</v>
      </c>
      <c r="I151" s="14">
        <v>0</v>
      </c>
      <c r="J151" s="14">
        <v>0</v>
      </c>
      <c r="K151" s="130">
        <v>11882</v>
      </c>
      <c r="L151" s="130">
        <v>11714</v>
      </c>
      <c r="M151" s="356">
        <f t="shared" si="34"/>
        <v>0.9858609661673119</v>
      </c>
      <c r="N151" s="130">
        <f>L151</f>
        <v>11714</v>
      </c>
      <c r="O151" s="130">
        <v>0</v>
      </c>
      <c r="P151" s="354"/>
      <c r="Q151" s="355">
        <v>0</v>
      </c>
      <c r="R151" s="356"/>
      <c r="S151" s="356"/>
      <c r="T151" s="492"/>
    </row>
    <row r="152" spans="1:20" s="167" customFormat="1" ht="47.25" customHeight="1">
      <c r="A152" s="511" t="s">
        <v>764</v>
      </c>
      <c r="B152" s="522"/>
      <c r="C152" s="222" t="s">
        <v>771</v>
      </c>
      <c r="D152" s="201"/>
      <c r="E152" s="201"/>
      <c r="F152" s="201"/>
      <c r="G152" s="201"/>
      <c r="H152" s="201">
        <f>H153</f>
        <v>0</v>
      </c>
      <c r="I152" s="201">
        <f>I153</f>
        <v>0</v>
      </c>
      <c r="J152" s="201">
        <f>J153</f>
        <v>0</v>
      </c>
      <c r="K152" s="357">
        <f>K153</f>
        <v>11050</v>
      </c>
      <c r="L152" s="357">
        <f>L153</f>
        <v>0</v>
      </c>
      <c r="M152" s="473">
        <f t="shared" si="34"/>
        <v>0</v>
      </c>
      <c r="N152" s="357">
        <f aca="true" t="shared" si="37" ref="N152:T152">N153</f>
        <v>0</v>
      </c>
      <c r="O152" s="357">
        <f t="shared" si="37"/>
        <v>0</v>
      </c>
      <c r="P152" s="357">
        <f t="shared" si="37"/>
        <v>0</v>
      </c>
      <c r="Q152" s="357">
        <f t="shared" si="37"/>
        <v>0</v>
      </c>
      <c r="R152" s="357">
        <f t="shared" si="37"/>
        <v>0</v>
      </c>
      <c r="S152" s="357">
        <f t="shared" si="37"/>
        <v>0</v>
      </c>
      <c r="T152" s="493">
        <f t="shared" si="37"/>
        <v>0</v>
      </c>
    </row>
    <row r="153" spans="1:20" s="167" customFormat="1" ht="34.5" customHeight="1">
      <c r="A153" s="513" t="s">
        <v>765</v>
      </c>
      <c r="B153" s="509"/>
      <c r="C153" s="331" t="s">
        <v>802</v>
      </c>
      <c r="D153" s="326"/>
      <c r="E153" s="326"/>
      <c r="F153" s="326"/>
      <c r="G153" s="326"/>
      <c r="H153" s="326">
        <f>H155+H156+H157+H158</f>
        <v>0</v>
      </c>
      <c r="I153" s="326">
        <f>I155+I156+I157+I158</f>
        <v>0</v>
      </c>
      <c r="J153" s="326">
        <f>J155+J156+J157+J158</f>
        <v>0</v>
      </c>
      <c r="K153" s="353">
        <f>SUM(K154:K158)</f>
        <v>11050</v>
      </c>
      <c r="L153" s="353">
        <f>SUM(L154:L158)</f>
        <v>0</v>
      </c>
      <c r="M153" s="539">
        <f t="shared" si="34"/>
        <v>0</v>
      </c>
      <c r="N153" s="353">
        <f aca="true" t="shared" si="38" ref="N153:T153">SUM(N154:N158)</f>
        <v>0</v>
      </c>
      <c r="O153" s="353">
        <f t="shared" si="38"/>
        <v>0</v>
      </c>
      <c r="P153" s="353">
        <f t="shared" si="38"/>
        <v>0</v>
      </c>
      <c r="Q153" s="353">
        <f t="shared" si="38"/>
        <v>0</v>
      </c>
      <c r="R153" s="353">
        <f t="shared" si="38"/>
        <v>0</v>
      </c>
      <c r="S153" s="353">
        <f t="shared" si="38"/>
        <v>0</v>
      </c>
      <c r="T153" s="491">
        <f t="shared" si="38"/>
        <v>0</v>
      </c>
    </row>
    <row r="154" spans="1:20" s="167" customFormat="1" ht="18.75" customHeight="1">
      <c r="A154" s="516"/>
      <c r="B154" s="145" t="s">
        <v>33</v>
      </c>
      <c r="C154" s="129" t="s">
        <v>70</v>
      </c>
      <c r="D154" s="5"/>
      <c r="E154" s="5"/>
      <c r="F154" s="5"/>
      <c r="G154" s="5"/>
      <c r="H154" s="5"/>
      <c r="I154" s="5"/>
      <c r="J154" s="5"/>
      <c r="K154" s="130">
        <v>374</v>
      </c>
      <c r="L154" s="130">
        <v>0</v>
      </c>
      <c r="M154" s="356">
        <f t="shared" si="34"/>
        <v>0</v>
      </c>
      <c r="N154" s="130">
        <f>L154</f>
        <v>0</v>
      </c>
      <c r="O154" s="130"/>
      <c r="P154" s="130">
        <f>N154</f>
        <v>0</v>
      </c>
      <c r="Q154" s="358"/>
      <c r="R154" s="356"/>
      <c r="S154" s="356"/>
      <c r="T154" s="492"/>
    </row>
    <row r="155" spans="1:20" s="167" customFormat="1" ht="16.5" customHeight="1">
      <c r="A155" s="515"/>
      <c r="B155" s="145" t="s">
        <v>8</v>
      </c>
      <c r="C155" s="129" t="s">
        <v>9</v>
      </c>
      <c r="D155" s="14"/>
      <c r="E155" s="14"/>
      <c r="F155" s="14"/>
      <c r="G155" s="14"/>
      <c r="H155" s="14">
        <v>0</v>
      </c>
      <c r="I155" s="14">
        <v>0</v>
      </c>
      <c r="J155" s="14">
        <v>0</v>
      </c>
      <c r="K155" s="130">
        <v>54</v>
      </c>
      <c r="L155" s="130">
        <v>0</v>
      </c>
      <c r="M155" s="356">
        <f t="shared" si="34"/>
        <v>0</v>
      </c>
      <c r="N155" s="130">
        <f>L155</f>
        <v>0</v>
      </c>
      <c r="O155" s="130"/>
      <c r="P155" s="130">
        <f>N155</f>
        <v>0</v>
      </c>
      <c r="Q155" s="355">
        <v>0</v>
      </c>
      <c r="R155" s="356"/>
      <c r="S155" s="356"/>
      <c r="T155" s="492"/>
    </row>
    <row r="156" spans="1:20" s="167" customFormat="1" ht="19.5" customHeight="1">
      <c r="A156" s="515"/>
      <c r="B156" s="145" t="s">
        <v>735</v>
      </c>
      <c r="C156" s="129" t="s">
        <v>736</v>
      </c>
      <c r="D156" s="14"/>
      <c r="E156" s="14"/>
      <c r="F156" s="14"/>
      <c r="G156" s="14"/>
      <c r="H156" s="14">
        <v>0</v>
      </c>
      <c r="I156" s="14">
        <v>0</v>
      </c>
      <c r="J156" s="14">
        <v>0</v>
      </c>
      <c r="K156" s="130">
        <v>2185</v>
      </c>
      <c r="L156" s="130">
        <v>0</v>
      </c>
      <c r="M156" s="356">
        <f t="shared" si="34"/>
        <v>0</v>
      </c>
      <c r="N156" s="130">
        <f>L156</f>
        <v>0</v>
      </c>
      <c r="O156" s="130">
        <f>N156</f>
        <v>0</v>
      </c>
      <c r="P156" s="354"/>
      <c r="Q156" s="355">
        <v>0</v>
      </c>
      <c r="R156" s="356"/>
      <c r="S156" s="356"/>
      <c r="T156" s="492"/>
    </row>
    <row r="157" spans="1:20" s="167" customFormat="1" ht="20.25" customHeight="1">
      <c r="A157" s="515"/>
      <c r="B157" s="145" t="s">
        <v>10</v>
      </c>
      <c r="C157" s="129" t="s">
        <v>11</v>
      </c>
      <c r="D157" s="14"/>
      <c r="E157" s="14"/>
      <c r="F157" s="14"/>
      <c r="G157" s="14"/>
      <c r="H157" s="14">
        <v>0</v>
      </c>
      <c r="I157" s="14">
        <v>0</v>
      </c>
      <c r="J157" s="14">
        <v>0</v>
      </c>
      <c r="K157" s="130">
        <v>2125</v>
      </c>
      <c r="L157" s="130">
        <v>0</v>
      </c>
      <c r="M157" s="356">
        <f t="shared" si="34"/>
        <v>0</v>
      </c>
      <c r="N157" s="130">
        <f>L157</f>
        <v>0</v>
      </c>
      <c r="O157" s="130"/>
      <c r="P157" s="354"/>
      <c r="Q157" s="355">
        <v>0</v>
      </c>
      <c r="R157" s="356"/>
      <c r="S157" s="356"/>
      <c r="T157" s="492"/>
    </row>
    <row r="158" spans="1:20" s="167" customFormat="1" ht="20.25" customHeight="1">
      <c r="A158" s="515"/>
      <c r="B158" s="145" t="s">
        <v>16</v>
      </c>
      <c r="C158" s="129" t="s">
        <v>99</v>
      </c>
      <c r="D158" s="14"/>
      <c r="E158" s="14"/>
      <c r="F158" s="14"/>
      <c r="G158" s="14"/>
      <c r="H158" s="14">
        <v>0</v>
      </c>
      <c r="I158" s="14">
        <v>0</v>
      </c>
      <c r="J158" s="14">
        <v>0</v>
      </c>
      <c r="K158" s="130">
        <v>6312</v>
      </c>
      <c r="L158" s="130"/>
      <c r="M158" s="356">
        <f t="shared" si="34"/>
        <v>0</v>
      </c>
      <c r="N158" s="130">
        <f>L158</f>
        <v>0</v>
      </c>
      <c r="O158" s="130"/>
      <c r="P158" s="354"/>
      <c r="Q158" s="355">
        <v>0</v>
      </c>
      <c r="R158" s="356"/>
      <c r="S158" s="356"/>
      <c r="T158" s="492"/>
    </row>
    <row r="159" spans="1:20" s="167" customFormat="1" ht="45" customHeight="1">
      <c r="A159" s="511" t="s">
        <v>73</v>
      </c>
      <c r="B159" s="522"/>
      <c r="C159" s="215" t="s">
        <v>74</v>
      </c>
      <c r="D159" s="201" t="e">
        <f>#REF!+D162</f>
        <v>#REF!</v>
      </c>
      <c r="E159" s="201" t="e">
        <f>#REF!+E162</f>
        <v>#REF!</v>
      </c>
      <c r="F159" s="201" t="e">
        <f>#REF!+F162</f>
        <v>#REF!</v>
      </c>
      <c r="G159" s="201" t="e">
        <f>#REF!+G162</f>
        <v>#REF!</v>
      </c>
      <c r="H159" s="201" t="e">
        <f>#REF!+H162</f>
        <v>#REF!</v>
      </c>
      <c r="I159" s="201" t="e">
        <f>#REF!+I162</f>
        <v>#REF!</v>
      </c>
      <c r="J159" s="201" t="e">
        <f>#REF!+J162</f>
        <v>#REF!</v>
      </c>
      <c r="K159" s="357">
        <f>K160+K162+K185</f>
        <v>2294000</v>
      </c>
      <c r="L159" s="357">
        <f aca="true" t="shared" si="39" ref="L159:T159">L160+L162+L185</f>
        <v>2265223</v>
      </c>
      <c r="M159" s="473">
        <f t="shared" si="34"/>
        <v>0.9874555361813426</v>
      </c>
      <c r="N159" s="357">
        <f t="shared" si="39"/>
        <v>2215000</v>
      </c>
      <c r="O159" s="357">
        <f t="shared" si="39"/>
        <v>1690000</v>
      </c>
      <c r="P159" s="357">
        <f t="shared" si="39"/>
        <v>4000</v>
      </c>
      <c r="Q159" s="357">
        <f t="shared" si="39"/>
        <v>0</v>
      </c>
      <c r="R159" s="357">
        <f t="shared" si="39"/>
        <v>0</v>
      </c>
      <c r="S159" s="357">
        <f t="shared" si="39"/>
        <v>0</v>
      </c>
      <c r="T159" s="493">
        <f t="shared" si="39"/>
        <v>50223</v>
      </c>
    </row>
    <row r="160" spans="1:20" s="167" customFormat="1" ht="39.75" customHeight="1">
      <c r="A160" s="513" t="s">
        <v>183</v>
      </c>
      <c r="B160" s="509"/>
      <c r="C160" s="327" t="s">
        <v>184</v>
      </c>
      <c r="D160" s="326"/>
      <c r="E160" s="326"/>
      <c r="F160" s="326"/>
      <c r="G160" s="326"/>
      <c r="H160" s="326"/>
      <c r="I160" s="326"/>
      <c r="J160" s="326"/>
      <c r="K160" s="353">
        <f>K161</f>
        <v>0</v>
      </c>
      <c r="L160" s="353">
        <f aca="true" t="shared" si="40" ref="L160:T160">L161</f>
        <v>50223</v>
      </c>
      <c r="M160" s="539">
        <v>0</v>
      </c>
      <c r="N160" s="353">
        <f t="shared" si="40"/>
        <v>0</v>
      </c>
      <c r="O160" s="353">
        <f t="shared" si="40"/>
        <v>0</v>
      </c>
      <c r="P160" s="353">
        <f t="shared" si="40"/>
        <v>0</v>
      </c>
      <c r="Q160" s="353">
        <f t="shared" si="40"/>
        <v>0</v>
      </c>
      <c r="R160" s="353">
        <f t="shared" si="40"/>
        <v>0</v>
      </c>
      <c r="S160" s="353">
        <f t="shared" si="40"/>
        <v>0</v>
      </c>
      <c r="T160" s="491">
        <f t="shared" si="40"/>
        <v>50223</v>
      </c>
    </row>
    <row r="161" spans="1:20" s="167" customFormat="1" ht="45" customHeight="1">
      <c r="A161" s="525"/>
      <c r="B161" s="518" t="s">
        <v>713</v>
      </c>
      <c r="C161" s="129" t="s">
        <v>714</v>
      </c>
      <c r="D161" s="325"/>
      <c r="E161" s="325"/>
      <c r="F161" s="325"/>
      <c r="G161" s="325"/>
      <c r="H161" s="325"/>
      <c r="I161" s="325"/>
      <c r="J161" s="325"/>
      <c r="K161" s="358">
        <v>0</v>
      </c>
      <c r="L161" s="358">
        <v>50223</v>
      </c>
      <c r="M161" s="356">
        <v>0</v>
      </c>
      <c r="N161" s="358"/>
      <c r="O161" s="358"/>
      <c r="P161" s="358"/>
      <c r="Q161" s="358"/>
      <c r="R161" s="358"/>
      <c r="S161" s="358"/>
      <c r="T161" s="496">
        <f>L161</f>
        <v>50223</v>
      </c>
    </row>
    <row r="162" spans="1:20" s="167" customFormat="1" ht="26.25" customHeight="1">
      <c r="A162" s="513" t="s">
        <v>100</v>
      </c>
      <c r="B162" s="509"/>
      <c r="C162" s="332" t="s">
        <v>101</v>
      </c>
      <c r="D162" s="326" t="e">
        <f>D164+D165+D166+D167+D168+#REF!+D169+D170</f>
        <v>#REF!</v>
      </c>
      <c r="E162" s="326" t="e">
        <f>E164+E165+E166+E167+E168+#REF!+E169+E170+#REF!+E172+E173+E174+E175+E177+E179+E180+#REF!+E181+E183+#REF!+E182</f>
        <v>#REF!</v>
      </c>
      <c r="F162" s="326" t="e">
        <f>F164+F165+F166+F167+F168+#REF!+F169+F170+#REF!+F172+F174+F175+F177+F179+#REF!+F181+F183+#REF!+F182</f>
        <v>#REF!</v>
      </c>
      <c r="G162" s="326" t="e">
        <f>G164+G165+G166+G167+G168+#REF!+G169+G170+#REF!+G172+G174+G175+G177+G179+#REF!+G181+G183+#REF!+G182</f>
        <v>#REF!</v>
      </c>
      <c r="H162" s="326" t="e">
        <f>H164+H165+H166+H167+H168+#REF!+H169+H170+#REF!+H172+H173+H174+H175+H177+H179+H180+H181+H182+H183+#REF!</f>
        <v>#REF!</v>
      </c>
      <c r="I162" s="326" t="e">
        <f>I164+I165+I166+I167+I168+#REF!+I169+I170+#REF!+I172+I173+I174+I175+I177+I179+I180+I181+I182+I183+#REF!</f>
        <v>#REF!</v>
      </c>
      <c r="J162" s="326" t="e">
        <f>J164+J165+J166+J167+J168+#REF!+J169+J170+#REF!+J172+J173+J174+J175+J177+J179+J180+J181+J182+J183+#REF!</f>
        <v>#REF!</v>
      </c>
      <c r="K162" s="353">
        <f>SUM(K163:K184)</f>
        <v>2291000</v>
      </c>
      <c r="L162" s="353">
        <f>SUM(L163:L184)</f>
        <v>2215000</v>
      </c>
      <c r="M162" s="539">
        <f t="shared" si="34"/>
        <v>0.9668267132256656</v>
      </c>
      <c r="N162" s="353">
        <f aca="true" t="shared" si="41" ref="N162:T162">SUM(N163:N184)</f>
        <v>2215000</v>
      </c>
      <c r="O162" s="353">
        <f t="shared" si="41"/>
        <v>1690000</v>
      </c>
      <c r="P162" s="353">
        <f t="shared" si="41"/>
        <v>4000</v>
      </c>
      <c r="Q162" s="353">
        <f t="shared" si="41"/>
        <v>0</v>
      </c>
      <c r="R162" s="353">
        <f t="shared" si="41"/>
        <v>0</v>
      </c>
      <c r="S162" s="353">
        <f t="shared" si="41"/>
        <v>0</v>
      </c>
      <c r="T162" s="491">
        <f t="shared" si="41"/>
        <v>0</v>
      </c>
    </row>
    <row r="163" spans="1:20" s="167" customFormat="1" ht="15.75" customHeight="1">
      <c r="A163" s="515"/>
      <c r="B163" s="145" t="s">
        <v>535</v>
      </c>
      <c r="C163" s="129" t="s">
        <v>536</v>
      </c>
      <c r="D163" s="6"/>
      <c r="E163" s="14"/>
      <c r="F163" s="14"/>
      <c r="G163" s="14"/>
      <c r="H163" s="14"/>
      <c r="I163" s="14"/>
      <c r="J163" s="14"/>
      <c r="K163" s="130">
        <v>134000</v>
      </c>
      <c r="L163" s="130">
        <v>155000</v>
      </c>
      <c r="M163" s="356">
        <f t="shared" si="34"/>
        <v>1.1567164179104477</v>
      </c>
      <c r="N163" s="130">
        <f aca="true" t="shared" si="42" ref="N163:N183">L163</f>
        <v>155000</v>
      </c>
      <c r="O163" s="130"/>
      <c r="P163" s="354">
        <v>0</v>
      </c>
      <c r="Q163" s="354">
        <v>0</v>
      </c>
      <c r="R163" s="356"/>
      <c r="S163" s="356"/>
      <c r="T163" s="492"/>
    </row>
    <row r="164" spans="1:20" s="167" customFormat="1" ht="15.75" customHeight="1">
      <c r="A164" s="515"/>
      <c r="B164" s="145" t="s">
        <v>4</v>
      </c>
      <c r="C164" s="129" t="s">
        <v>548</v>
      </c>
      <c r="D164" s="6">
        <v>15218</v>
      </c>
      <c r="E164" s="14">
        <v>14500</v>
      </c>
      <c r="F164" s="14">
        <v>1000</v>
      </c>
      <c r="G164" s="14">
        <v>0</v>
      </c>
      <c r="H164" s="14">
        <v>17000</v>
      </c>
      <c r="I164" s="14">
        <v>0</v>
      </c>
      <c r="J164" s="14">
        <v>0</v>
      </c>
      <c r="K164" s="130">
        <v>19943</v>
      </c>
      <c r="L164" s="130">
        <v>19000</v>
      </c>
      <c r="M164" s="356">
        <f t="shared" si="34"/>
        <v>0.9527152384295241</v>
      </c>
      <c r="N164" s="130">
        <f t="shared" si="42"/>
        <v>19000</v>
      </c>
      <c r="O164" s="130">
        <f>N164</f>
        <v>19000</v>
      </c>
      <c r="P164" s="354">
        <v>0</v>
      </c>
      <c r="Q164" s="354">
        <v>0</v>
      </c>
      <c r="R164" s="356"/>
      <c r="S164" s="356"/>
      <c r="T164" s="492"/>
    </row>
    <row r="165" spans="1:20" s="167" customFormat="1" ht="15.75" customHeight="1">
      <c r="A165" s="515"/>
      <c r="B165" s="145" t="s">
        <v>6</v>
      </c>
      <c r="C165" s="129" t="s">
        <v>7</v>
      </c>
      <c r="D165" s="6">
        <v>782</v>
      </c>
      <c r="E165" s="14">
        <v>1200</v>
      </c>
      <c r="F165" s="14">
        <v>0</v>
      </c>
      <c r="G165" s="14">
        <v>14</v>
      </c>
      <c r="H165" s="14">
        <v>1415</v>
      </c>
      <c r="I165" s="14">
        <v>0</v>
      </c>
      <c r="J165" s="14">
        <v>0</v>
      </c>
      <c r="K165" s="130">
        <v>1557</v>
      </c>
      <c r="L165" s="130">
        <v>2000</v>
      </c>
      <c r="M165" s="356">
        <f t="shared" si="34"/>
        <v>1.2845215157353886</v>
      </c>
      <c r="N165" s="130">
        <f t="shared" si="42"/>
        <v>2000</v>
      </c>
      <c r="O165" s="130">
        <f>N165</f>
        <v>2000</v>
      </c>
      <c r="P165" s="354">
        <v>0</v>
      </c>
      <c r="Q165" s="354">
        <v>0</v>
      </c>
      <c r="R165" s="356"/>
      <c r="S165" s="356"/>
      <c r="T165" s="492"/>
    </row>
    <row r="166" spans="1:20" s="167" customFormat="1" ht="21.75" customHeight="1">
      <c r="A166" s="515"/>
      <c r="B166" s="145" t="s">
        <v>88</v>
      </c>
      <c r="C166" s="129" t="s">
        <v>89</v>
      </c>
      <c r="D166" s="6">
        <v>1635532</v>
      </c>
      <c r="E166" s="14">
        <v>1917450</v>
      </c>
      <c r="F166" s="14">
        <v>0</v>
      </c>
      <c r="G166" s="14">
        <v>0</v>
      </c>
      <c r="H166" s="14">
        <v>1149573</v>
      </c>
      <c r="I166" s="14">
        <v>0</v>
      </c>
      <c r="J166" s="14">
        <v>0</v>
      </c>
      <c r="K166" s="130">
        <v>1298850</v>
      </c>
      <c r="L166" s="130">
        <v>1415000</v>
      </c>
      <c r="M166" s="356">
        <f t="shared" si="34"/>
        <v>1.0894252608076376</v>
      </c>
      <c r="N166" s="130">
        <f t="shared" si="42"/>
        <v>1415000</v>
      </c>
      <c r="O166" s="130">
        <f>N166</f>
        <v>1415000</v>
      </c>
      <c r="P166" s="354">
        <v>0</v>
      </c>
      <c r="Q166" s="354">
        <v>0</v>
      </c>
      <c r="R166" s="356"/>
      <c r="S166" s="356"/>
      <c r="T166" s="492"/>
    </row>
    <row r="167" spans="1:20" s="167" customFormat="1" ht="15" customHeight="1">
      <c r="A167" s="515"/>
      <c r="B167" s="145" t="s">
        <v>90</v>
      </c>
      <c r="C167" s="129" t="s">
        <v>91</v>
      </c>
      <c r="D167" s="6">
        <v>15859</v>
      </c>
      <c r="E167" s="14">
        <v>46700</v>
      </c>
      <c r="F167" s="14">
        <v>0</v>
      </c>
      <c r="G167" s="14">
        <v>0</v>
      </c>
      <c r="H167" s="14">
        <v>5200</v>
      </c>
      <c r="I167" s="14">
        <v>0</v>
      </c>
      <c r="J167" s="14">
        <v>0</v>
      </c>
      <c r="K167" s="130">
        <v>175472</v>
      </c>
      <c r="L167" s="130">
        <v>137000</v>
      </c>
      <c r="M167" s="356">
        <f t="shared" si="34"/>
        <v>0.7807513449439227</v>
      </c>
      <c r="N167" s="130">
        <f t="shared" si="42"/>
        <v>137000</v>
      </c>
      <c r="O167" s="130">
        <f>N167</f>
        <v>137000</v>
      </c>
      <c r="P167" s="354">
        <v>0</v>
      </c>
      <c r="Q167" s="354">
        <v>0</v>
      </c>
      <c r="R167" s="356"/>
      <c r="S167" s="356"/>
      <c r="T167" s="492"/>
    </row>
    <row r="168" spans="1:20" s="167" customFormat="1" ht="15.75" customHeight="1">
      <c r="A168" s="515"/>
      <c r="B168" s="145" t="s">
        <v>92</v>
      </c>
      <c r="C168" s="129" t="s">
        <v>93</v>
      </c>
      <c r="D168" s="6">
        <v>96233</v>
      </c>
      <c r="E168" s="14">
        <v>146640</v>
      </c>
      <c r="F168" s="14">
        <v>0</v>
      </c>
      <c r="G168" s="14">
        <v>15640</v>
      </c>
      <c r="H168" s="14">
        <v>86500</v>
      </c>
      <c r="I168" s="14">
        <v>0</v>
      </c>
      <c r="J168" s="14">
        <v>0</v>
      </c>
      <c r="K168" s="130">
        <v>116025</v>
      </c>
      <c r="L168" s="130">
        <v>117000</v>
      </c>
      <c r="M168" s="356">
        <f t="shared" si="34"/>
        <v>1.0084033613445378</v>
      </c>
      <c r="N168" s="130">
        <f t="shared" si="42"/>
        <v>117000</v>
      </c>
      <c r="O168" s="130">
        <f>N168</f>
        <v>117000</v>
      </c>
      <c r="P168" s="354">
        <v>0</v>
      </c>
      <c r="Q168" s="354">
        <v>0</v>
      </c>
      <c r="R168" s="356"/>
      <c r="S168" s="356"/>
      <c r="T168" s="492"/>
    </row>
    <row r="169" spans="1:20" s="167" customFormat="1" ht="18" customHeight="1">
      <c r="A169" s="515"/>
      <c r="B169" s="519" t="s">
        <v>56</v>
      </c>
      <c r="C169" s="129" t="s">
        <v>70</v>
      </c>
      <c r="D169" s="6">
        <v>39438</v>
      </c>
      <c r="E169" s="14">
        <v>71560</v>
      </c>
      <c r="F169" s="14">
        <v>0</v>
      </c>
      <c r="G169" s="14">
        <v>26000</v>
      </c>
      <c r="H169" s="14">
        <v>38000</v>
      </c>
      <c r="I169" s="14">
        <v>0</v>
      </c>
      <c r="J169" s="14">
        <v>0</v>
      </c>
      <c r="K169" s="130">
        <v>12269</v>
      </c>
      <c r="L169" s="130">
        <v>3500</v>
      </c>
      <c r="M169" s="356">
        <f t="shared" si="34"/>
        <v>0.28527182329448203</v>
      </c>
      <c r="N169" s="130">
        <f t="shared" si="42"/>
        <v>3500</v>
      </c>
      <c r="O169" s="130"/>
      <c r="P169" s="354">
        <f>N169</f>
        <v>3500</v>
      </c>
      <c r="Q169" s="354">
        <v>0</v>
      </c>
      <c r="R169" s="356"/>
      <c r="S169" s="356"/>
      <c r="T169" s="492"/>
    </row>
    <row r="170" spans="1:20" s="167" customFormat="1" ht="15.75" customHeight="1">
      <c r="A170" s="515"/>
      <c r="B170" s="145" t="s">
        <v>8</v>
      </c>
      <c r="C170" s="129" t="s">
        <v>9</v>
      </c>
      <c r="D170" s="6">
        <v>843962</v>
      </c>
      <c r="E170" s="14">
        <v>12030</v>
      </c>
      <c r="F170" s="14">
        <v>0</v>
      </c>
      <c r="G170" s="14">
        <v>5000</v>
      </c>
      <c r="H170" s="14">
        <v>5410</v>
      </c>
      <c r="I170" s="14">
        <v>0</v>
      </c>
      <c r="J170" s="14">
        <v>0</v>
      </c>
      <c r="K170" s="130">
        <v>677</v>
      </c>
      <c r="L170" s="130">
        <v>500</v>
      </c>
      <c r="M170" s="356">
        <f t="shared" si="34"/>
        <v>0.7385524372230429</v>
      </c>
      <c r="N170" s="130">
        <f t="shared" si="42"/>
        <v>500</v>
      </c>
      <c r="O170" s="130"/>
      <c r="P170" s="354">
        <f>N170</f>
        <v>500</v>
      </c>
      <c r="Q170" s="354">
        <v>0</v>
      </c>
      <c r="R170" s="356"/>
      <c r="S170" s="356"/>
      <c r="T170" s="492"/>
    </row>
    <row r="171" spans="1:20" s="167" customFormat="1" ht="15.75" customHeight="1">
      <c r="A171" s="515"/>
      <c r="B171" s="145" t="s">
        <v>537</v>
      </c>
      <c r="C171" s="129" t="s">
        <v>538</v>
      </c>
      <c r="D171" s="6"/>
      <c r="E171" s="14"/>
      <c r="F171" s="14"/>
      <c r="G171" s="14"/>
      <c r="H171" s="14"/>
      <c r="I171" s="14"/>
      <c r="J171" s="14"/>
      <c r="K171" s="130">
        <v>96000</v>
      </c>
      <c r="L171" s="130">
        <v>92000</v>
      </c>
      <c r="M171" s="356">
        <f t="shared" si="34"/>
        <v>0.9583333333333334</v>
      </c>
      <c r="N171" s="130">
        <f t="shared" si="42"/>
        <v>92000</v>
      </c>
      <c r="O171" s="130"/>
      <c r="P171" s="354">
        <v>0</v>
      </c>
      <c r="Q171" s="354">
        <v>0</v>
      </c>
      <c r="R171" s="356"/>
      <c r="S171" s="356"/>
      <c r="T171" s="492"/>
    </row>
    <row r="172" spans="1:20" s="167" customFormat="1" ht="15.75" customHeight="1">
      <c r="A172" s="515"/>
      <c r="B172" s="145" t="s">
        <v>10</v>
      </c>
      <c r="C172" s="129" t="s">
        <v>11</v>
      </c>
      <c r="D172" s="6"/>
      <c r="E172" s="14">
        <v>296300</v>
      </c>
      <c r="F172" s="14">
        <v>62410</v>
      </c>
      <c r="G172" s="14">
        <v>0</v>
      </c>
      <c r="H172" s="14">
        <v>173952</v>
      </c>
      <c r="I172" s="14">
        <v>0</v>
      </c>
      <c r="J172" s="14">
        <v>0</v>
      </c>
      <c r="K172" s="130">
        <v>256290</v>
      </c>
      <c r="L172" s="130">
        <v>137840</v>
      </c>
      <c r="M172" s="356">
        <f t="shared" si="34"/>
        <v>0.5378282414452378</v>
      </c>
      <c r="N172" s="130">
        <f t="shared" si="42"/>
        <v>137840</v>
      </c>
      <c r="O172" s="130"/>
      <c r="P172" s="354">
        <v>0</v>
      </c>
      <c r="Q172" s="354">
        <v>0</v>
      </c>
      <c r="R172" s="356"/>
      <c r="S172" s="356"/>
      <c r="T172" s="492"/>
    </row>
    <row r="173" spans="1:20" s="167" customFormat="1" ht="16.5" customHeight="1">
      <c r="A173" s="515"/>
      <c r="B173" s="145" t="s">
        <v>95</v>
      </c>
      <c r="C173" s="129" t="s">
        <v>96</v>
      </c>
      <c r="D173" s="6"/>
      <c r="E173" s="14">
        <v>0</v>
      </c>
      <c r="F173" s="14"/>
      <c r="G173" s="14"/>
      <c r="H173" s="14">
        <v>88000</v>
      </c>
      <c r="I173" s="14">
        <v>0</v>
      </c>
      <c r="J173" s="14">
        <v>0</v>
      </c>
      <c r="K173" s="130">
        <v>20000</v>
      </c>
      <c r="L173" s="130">
        <v>20000</v>
      </c>
      <c r="M173" s="356">
        <f t="shared" si="34"/>
        <v>1</v>
      </c>
      <c r="N173" s="130">
        <f t="shared" si="42"/>
        <v>20000</v>
      </c>
      <c r="O173" s="130"/>
      <c r="P173" s="354">
        <v>0</v>
      </c>
      <c r="Q173" s="354">
        <v>0</v>
      </c>
      <c r="R173" s="356"/>
      <c r="S173" s="356"/>
      <c r="T173" s="492"/>
    </row>
    <row r="174" spans="1:20" s="167" customFormat="1" ht="15.75" customHeight="1">
      <c r="A174" s="515"/>
      <c r="B174" s="145" t="s">
        <v>12</v>
      </c>
      <c r="C174" s="129" t="s">
        <v>97</v>
      </c>
      <c r="D174" s="6"/>
      <c r="E174" s="14">
        <v>25000</v>
      </c>
      <c r="F174" s="14">
        <v>0</v>
      </c>
      <c r="G174" s="14">
        <v>5100</v>
      </c>
      <c r="H174" s="14">
        <v>17000</v>
      </c>
      <c r="I174" s="14">
        <v>0</v>
      </c>
      <c r="J174" s="14">
        <v>0</v>
      </c>
      <c r="K174" s="130">
        <v>18000</v>
      </c>
      <c r="L174" s="130">
        <v>18000</v>
      </c>
      <c r="M174" s="356">
        <f t="shared" si="34"/>
        <v>1</v>
      </c>
      <c r="N174" s="130">
        <f t="shared" si="42"/>
        <v>18000</v>
      </c>
      <c r="O174" s="130"/>
      <c r="P174" s="354">
        <v>0</v>
      </c>
      <c r="Q174" s="354">
        <v>0</v>
      </c>
      <c r="R174" s="356"/>
      <c r="S174" s="356"/>
      <c r="T174" s="492"/>
    </row>
    <row r="175" spans="1:20" s="167" customFormat="1" ht="17.25" customHeight="1">
      <c r="A175" s="515"/>
      <c r="B175" s="145" t="s">
        <v>14</v>
      </c>
      <c r="C175" s="129" t="s">
        <v>98</v>
      </c>
      <c r="D175" s="6"/>
      <c r="E175" s="14">
        <v>10000</v>
      </c>
      <c r="F175" s="14">
        <v>5000</v>
      </c>
      <c r="G175" s="14">
        <v>0</v>
      </c>
      <c r="H175" s="14">
        <v>43545</v>
      </c>
      <c r="I175" s="14">
        <v>0</v>
      </c>
      <c r="J175" s="14">
        <v>0</v>
      </c>
      <c r="K175" s="130">
        <v>18000</v>
      </c>
      <c r="L175" s="130">
        <v>12000</v>
      </c>
      <c r="M175" s="356">
        <f t="shared" si="34"/>
        <v>0.6666666666666666</v>
      </c>
      <c r="N175" s="130">
        <f t="shared" si="42"/>
        <v>12000</v>
      </c>
      <c r="O175" s="130"/>
      <c r="P175" s="354">
        <v>0</v>
      </c>
      <c r="Q175" s="354">
        <v>0</v>
      </c>
      <c r="R175" s="356"/>
      <c r="S175" s="356"/>
      <c r="T175" s="492"/>
    </row>
    <row r="176" spans="1:20" s="167" customFormat="1" ht="17.25" customHeight="1">
      <c r="A176" s="515"/>
      <c r="B176" s="145" t="s">
        <v>76</v>
      </c>
      <c r="C176" s="129" t="s">
        <v>77</v>
      </c>
      <c r="D176" s="6"/>
      <c r="E176" s="14"/>
      <c r="F176" s="14"/>
      <c r="G176" s="14"/>
      <c r="H176" s="14"/>
      <c r="I176" s="14"/>
      <c r="J176" s="14"/>
      <c r="K176" s="130">
        <v>14520</v>
      </c>
      <c r="L176" s="130">
        <v>14000</v>
      </c>
      <c r="M176" s="356">
        <f t="shared" si="34"/>
        <v>0.9641873278236914</v>
      </c>
      <c r="N176" s="130">
        <f t="shared" si="42"/>
        <v>14000</v>
      </c>
      <c r="O176" s="130"/>
      <c r="P176" s="354">
        <v>0</v>
      </c>
      <c r="Q176" s="354">
        <v>0</v>
      </c>
      <c r="R176" s="356"/>
      <c r="S176" s="356"/>
      <c r="T176" s="492"/>
    </row>
    <row r="177" spans="1:20" s="167" customFormat="1" ht="17.25" customHeight="1">
      <c r="A177" s="515"/>
      <c r="B177" s="145" t="s">
        <v>16</v>
      </c>
      <c r="C177" s="129" t="s">
        <v>99</v>
      </c>
      <c r="D177" s="6"/>
      <c r="E177" s="14">
        <v>58800</v>
      </c>
      <c r="F177" s="14">
        <v>10000</v>
      </c>
      <c r="G177" s="14">
        <v>0</v>
      </c>
      <c r="H177" s="14">
        <v>56000</v>
      </c>
      <c r="I177" s="14">
        <v>0</v>
      </c>
      <c r="J177" s="14">
        <v>0</v>
      </c>
      <c r="K177" s="130">
        <v>53000</v>
      </c>
      <c r="L177" s="130">
        <v>47550</v>
      </c>
      <c r="M177" s="356">
        <f t="shared" si="34"/>
        <v>0.8971698113207547</v>
      </c>
      <c r="N177" s="130">
        <f t="shared" si="42"/>
        <v>47550</v>
      </c>
      <c r="O177" s="130"/>
      <c r="P177" s="354">
        <v>0</v>
      </c>
      <c r="Q177" s="354">
        <v>0</v>
      </c>
      <c r="R177" s="356"/>
      <c r="S177" s="356"/>
      <c r="T177" s="492"/>
    </row>
    <row r="178" spans="1:20" s="167" customFormat="1" ht="17.25" customHeight="1">
      <c r="A178" s="515"/>
      <c r="B178" s="145" t="s">
        <v>737</v>
      </c>
      <c r="C178" s="130" t="s">
        <v>738</v>
      </c>
      <c r="D178" s="6"/>
      <c r="E178" s="14"/>
      <c r="F178" s="14"/>
      <c r="G178" s="14"/>
      <c r="H178" s="14"/>
      <c r="I178" s="14"/>
      <c r="J178" s="14"/>
      <c r="K178" s="130">
        <v>0</v>
      </c>
      <c r="L178" s="130">
        <v>1450</v>
      </c>
      <c r="M178" s="356">
        <v>0</v>
      </c>
      <c r="N178" s="130">
        <f t="shared" si="42"/>
        <v>1450</v>
      </c>
      <c r="O178" s="130"/>
      <c r="P178" s="354"/>
      <c r="Q178" s="354"/>
      <c r="R178" s="356"/>
      <c r="S178" s="356"/>
      <c r="T178" s="492"/>
    </row>
    <row r="179" spans="1:20" s="167" customFormat="1" ht="14.25" customHeight="1">
      <c r="A179" s="515"/>
      <c r="B179" s="145" t="s">
        <v>18</v>
      </c>
      <c r="C179" s="129" t="s">
        <v>19</v>
      </c>
      <c r="D179" s="6"/>
      <c r="E179" s="14">
        <v>25000</v>
      </c>
      <c r="F179" s="14">
        <v>0</v>
      </c>
      <c r="G179" s="14">
        <v>17000</v>
      </c>
      <c r="H179" s="14">
        <v>8000</v>
      </c>
      <c r="I179" s="14">
        <v>0</v>
      </c>
      <c r="J179" s="14">
        <v>0</v>
      </c>
      <c r="K179" s="130">
        <v>7000</v>
      </c>
      <c r="L179" s="130">
        <v>7000</v>
      </c>
      <c r="M179" s="356">
        <f t="shared" si="34"/>
        <v>1</v>
      </c>
      <c r="N179" s="130">
        <f t="shared" si="42"/>
        <v>7000</v>
      </c>
      <c r="O179" s="130"/>
      <c r="P179" s="354">
        <v>0</v>
      </c>
      <c r="Q179" s="354">
        <v>0</v>
      </c>
      <c r="R179" s="356"/>
      <c r="S179" s="356"/>
      <c r="T179" s="492"/>
    </row>
    <row r="180" spans="1:20" s="167" customFormat="1" ht="15.75" customHeight="1">
      <c r="A180" s="515"/>
      <c r="B180" s="145" t="s">
        <v>20</v>
      </c>
      <c r="C180" s="129" t="s">
        <v>21</v>
      </c>
      <c r="D180" s="6"/>
      <c r="E180" s="14">
        <v>0</v>
      </c>
      <c r="F180" s="14"/>
      <c r="G180" s="14"/>
      <c r="H180" s="14">
        <v>7000</v>
      </c>
      <c r="I180" s="14">
        <v>0</v>
      </c>
      <c r="J180" s="14">
        <v>0</v>
      </c>
      <c r="K180" s="130">
        <v>8000</v>
      </c>
      <c r="L180" s="130">
        <v>4000</v>
      </c>
      <c r="M180" s="356">
        <f t="shared" si="34"/>
        <v>0.5</v>
      </c>
      <c r="N180" s="130">
        <f t="shared" si="42"/>
        <v>4000</v>
      </c>
      <c r="O180" s="130"/>
      <c r="P180" s="354">
        <v>0</v>
      </c>
      <c r="Q180" s="354">
        <v>0</v>
      </c>
      <c r="R180" s="356"/>
      <c r="S180" s="356"/>
      <c r="T180" s="492"/>
    </row>
    <row r="181" spans="1:20" s="167" customFormat="1" ht="18" customHeight="1">
      <c r="A181" s="515"/>
      <c r="B181" s="145" t="s">
        <v>22</v>
      </c>
      <c r="C181" s="129" t="s">
        <v>23</v>
      </c>
      <c r="D181" s="6"/>
      <c r="E181" s="14">
        <v>2000</v>
      </c>
      <c r="F181" s="14">
        <v>0</v>
      </c>
      <c r="G181" s="14">
        <v>1173</v>
      </c>
      <c r="H181" s="14">
        <v>676</v>
      </c>
      <c r="I181" s="14">
        <v>0</v>
      </c>
      <c r="J181" s="14">
        <v>0</v>
      </c>
      <c r="K181" s="130">
        <v>766</v>
      </c>
      <c r="L181" s="130">
        <v>1000</v>
      </c>
      <c r="M181" s="356">
        <f t="shared" si="34"/>
        <v>1.3054830287206267</v>
      </c>
      <c r="N181" s="130">
        <f t="shared" si="42"/>
        <v>1000</v>
      </c>
      <c r="O181" s="130"/>
      <c r="P181" s="354">
        <v>0</v>
      </c>
      <c r="Q181" s="354">
        <v>0</v>
      </c>
      <c r="R181" s="356"/>
      <c r="S181" s="356"/>
      <c r="T181" s="492"/>
    </row>
    <row r="182" spans="1:20" s="167" customFormat="1" ht="22.5" customHeight="1">
      <c r="A182" s="515"/>
      <c r="B182" s="145" t="s">
        <v>75</v>
      </c>
      <c r="C182" s="129" t="s">
        <v>335</v>
      </c>
      <c r="D182" s="6"/>
      <c r="E182" s="14">
        <v>13840</v>
      </c>
      <c r="F182" s="14">
        <v>0</v>
      </c>
      <c r="G182" s="14">
        <v>9183</v>
      </c>
      <c r="H182" s="14">
        <v>8569</v>
      </c>
      <c r="I182" s="14">
        <v>0</v>
      </c>
      <c r="J182" s="14">
        <v>0</v>
      </c>
      <c r="K182" s="130">
        <v>10471</v>
      </c>
      <c r="L182" s="130">
        <v>11000</v>
      </c>
      <c r="M182" s="356">
        <f t="shared" si="34"/>
        <v>1.0505204851494605</v>
      </c>
      <c r="N182" s="130">
        <f t="shared" si="42"/>
        <v>11000</v>
      </c>
      <c r="O182" s="130"/>
      <c r="P182" s="354">
        <v>0</v>
      </c>
      <c r="Q182" s="354">
        <v>0</v>
      </c>
      <c r="R182" s="356"/>
      <c r="S182" s="356"/>
      <c r="T182" s="492"/>
    </row>
    <row r="183" spans="1:20" s="167" customFormat="1" ht="18.75" customHeight="1">
      <c r="A183" s="515"/>
      <c r="B183" s="145" t="s">
        <v>102</v>
      </c>
      <c r="C183" s="129" t="s">
        <v>336</v>
      </c>
      <c r="D183" s="6">
        <v>62500</v>
      </c>
      <c r="E183" s="14">
        <v>160</v>
      </c>
      <c r="F183" s="14">
        <v>0</v>
      </c>
      <c r="G183" s="14">
        <v>0</v>
      </c>
      <c r="H183" s="14">
        <v>160</v>
      </c>
      <c r="I183" s="14">
        <v>0</v>
      </c>
      <c r="J183" s="14">
        <v>0</v>
      </c>
      <c r="K183" s="130">
        <v>160</v>
      </c>
      <c r="L183" s="130">
        <v>160</v>
      </c>
      <c r="M183" s="356">
        <f t="shared" si="34"/>
        <v>1</v>
      </c>
      <c r="N183" s="130">
        <f t="shared" si="42"/>
        <v>160</v>
      </c>
      <c r="O183" s="130"/>
      <c r="P183" s="354">
        <v>0</v>
      </c>
      <c r="Q183" s="354">
        <v>0</v>
      </c>
      <c r="R183" s="356"/>
      <c r="S183" s="356"/>
      <c r="T183" s="492"/>
    </row>
    <row r="184" spans="1:20" s="167" customFormat="1" ht="22.5" customHeight="1">
      <c r="A184" s="515"/>
      <c r="B184" s="145" t="s">
        <v>42</v>
      </c>
      <c r="C184" s="129" t="s">
        <v>857</v>
      </c>
      <c r="D184" s="6"/>
      <c r="E184" s="14"/>
      <c r="F184" s="14"/>
      <c r="G184" s="14"/>
      <c r="H184" s="14"/>
      <c r="I184" s="14"/>
      <c r="J184" s="14"/>
      <c r="K184" s="130">
        <v>30000</v>
      </c>
      <c r="L184" s="130">
        <v>0</v>
      </c>
      <c r="M184" s="356">
        <f t="shared" si="34"/>
        <v>0</v>
      </c>
      <c r="N184" s="130"/>
      <c r="O184" s="130"/>
      <c r="P184" s="354">
        <v>0</v>
      </c>
      <c r="Q184" s="354">
        <v>0</v>
      </c>
      <c r="R184" s="356"/>
      <c r="S184" s="356"/>
      <c r="T184" s="494">
        <f>L184</f>
        <v>0</v>
      </c>
    </row>
    <row r="185" spans="1:20" s="167" customFormat="1" ht="16.5" customHeight="1">
      <c r="A185" s="513" t="s">
        <v>539</v>
      </c>
      <c r="B185" s="509"/>
      <c r="C185" s="327" t="s">
        <v>228</v>
      </c>
      <c r="D185" s="326"/>
      <c r="E185" s="326"/>
      <c r="F185" s="326"/>
      <c r="G185" s="326"/>
      <c r="H185" s="326"/>
      <c r="I185" s="326"/>
      <c r="J185" s="326"/>
      <c r="K185" s="353">
        <f>SUM(K186:K189)</f>
        <v>3000</v>
      </c>
      <c r="L185" s="353">
        <f>SUM(L186:L189)</f>
        <v>0</v>
      </c>
      <c r="M185" s="539">
        <f t="shared" si="34"/>
        <v>0</v>
      </c>
      <c r="N185" s="353">
        <f aca="true" t="shared" si="43" ref="N185:T185">SUM(N186:N189)</f>
        <v>0</v>
      </c>
      <c r="O185" s="353">
        <f t="shared" si="43"/>
        <v>0</v>
      </c>
      <c r="P185" s="353">
        <f t="shared" si="43"/>
        <v>0</v>
      </c>
      <c r="Q185" s="353">
        <f t="shared" si="43"/>
        <v>0</v>
      </c>
      <c r="R185" s="353">
        <f t="shared" si="43"/>
        <v>0</v>
      </c>
      <c r="S185" s="353">
        <f t="shared" si="43"/>
        <v>0</v>
      </c>
      <c r="T185" s="491">
        <f t="shared" si="43"/>
        <v>0</v>
      </c>
    </row>
    <row r="186" spans="1:20" s="167" customFormat="1" ht="16.5" customHeight="1">
      <c r="A186" s="516"/>
      <c r="B186" s="145" t="s">
        <v>910</v>
      </c>
      <c r="C186" s="129" t="s">
        <v>311</v>
      </c>
      <c r="D186" s="5"/>
      <c r="E186" s="5"/>
      <c r="F186" s="5"/>
      <c r="G186" s="5"/>
      <c r="H186" s="5"/>
      <c r="I186" s="5"/>
      <c r="J186" s="5"/>
      <c r="K186" s="130">
        <v>36</v>
      </c>
      <c r="L186" s="130">
        <v>0</v>
      </c>
      <c r="M186" s="356">
        <f t="shared" si="34"/>
        <v>0</v>
      </c>
      <c r="N186" s="130">
        <f>L186</f>
        <v>0</v>
      </c>
      <c r="O186" s="130"/>
      <c r="P186" s="130">
        <v>0</v>
      </c>
      <c r="Q186" s="130">
        <v>0</v>
      </c>
      <c r="R186" s="356"/>
      <c r="S186" s="356"/>
      <c r="T186" s="492"/>
    </row>
    <row r="187" spans="1:20" s="167" customFormat="1" ht="16.5" customHeight="1">
      <c r="A187" s="516"/>
      <c r="B187" s="145" t="s">
        <v>735</v>
      </c>
      <c r="C187" s="129" t="s">
        <v>736</v>
      </c>
      <c r="D187" s="5"/>
      <c r="E187" s="5"/>
      <c r="F187" s="5"/>
      <c r="G187" s="5"/>
      <c r="H187" s="5"/>
      <c r="I187" s="5"/>
      <c r="J187" s="5"/>
      <c r="K187" s="130">
        <v>700</v>
      </c>
      <c r="L187" s="130">
        <v>0</v>
      </c>
      <c r="M187" s="356">
        <f t="shared" si="34"/>
        <v>0</v>
      </c>
      <c r="N187" s="130">
        <f>L187</f>
        <v>0</v>
      </c>
      <c r="O187" s="130">
        <f>N187</f>
        <v>0</v>
      </c>
      <c r="P187" s="130">
        <v>0</v>
      </c>
      <c r="Q187" s="130">
        <v>0</v>
      </c>
      <c r="R187" s="356"/>
      <c r="S187" s="356"/>
      <c r="T187" s="492"/>
    </row>
    <row r="188" spans="1:20" s="167" customFormat="1" ht="16.5" customHeight="1">
      <c r="A188" s="516"/>
      <c r="B188" s="145" t="s">
        <v>10</v>
      </c>
      <c r="C188" s="129" t="s">
        <v>11</v>
      </c>
      <c r="D188" s="5"/>
      <c r="E188" s="5"/>
      <c r="F188" s="5"/>
      <c r="G188" s="5"/>
      <c r="H188" s="5"/>
      <c r="I188" s="5"/>
      <c r="J188" s="5"/>
      <c r="K188" s="130">
        <v>1153</v>
      </c>
      <c r="L188" s="130">
        <v>0</v>
      </c>
      <c r="M188" s="356">
        <f t="shared" si="34"/>
        <v>0</v>
      </c>
      <c r="N188" s="130">
        <f>L188</f>
        <v>0</v>
      </c>
      <c r="O188" s="130"/>
      <c r="P188" s="354">
        <v>0</v>
      </c>
      <c r="Q188" s="354">
        <v>0</v>
      </c>
      <c r="R188" s="356"/>
      <c r="S188" s="356"/>
      <c r="T188" s="492"/>
    </row>
    <row r="189" spans="1:20" s="167" customFormat="1" ht="16.5" customHeight="1">
      <c r="A189" s="516"/>
      <c r="B189" s="145" t="s">
        <v>16</v>
      </c>
      <c r="C189" s="129" t="s">
        <v>913</v>
      </c>
      <c r="D189" s="5"/>
      <c r="E189" s="5"/>
      <c r="F189" s="5"/>
      <c r="G189" s="5"/>
      <c r="H189" s="5"/>
      <c r="I189" s="5"/>
      <c r="J189" s="5"/>
      <c r="K189" s="130">
        <v>1111</v>
      </c>
      <c r="L189" s="130">
        <v>0</v>
      </c>
      <c r="M189" s="356">
        <f t="shared" si="34"/>
        <v>0</v>
      </c>
      <c r="N189" s="130">
        <f>L189</f>
        <v>0</v>
      </c>
      <c r="O189" s="130"/>
      <c r="P189" s="354">
        <v>0</v>
      </c>
      <c r="Q189" s="354">
        <v>0</v>
      </c>
      <c r="R189" s="356"/>
      <c r="S189" s="356"/>
      <c r="T189" s="492"/>
    </row>
    <row r="190" spans="1:20" s="167" customFormat="1" ht="24" customHeight="1">
      <c r="A190" s="511" t="s">
        <v>113</v>
      </c>
      <c r="B190" s="522"/>
      <c r="C190" s="215" t="s">
        <v>612</v>
      </c>
      <c r="D190" s="201" t="e">
        <f>D191+#REF!</f>
        <v>#REF!</v>
      </c>
      <c r="E190" s="201" t="e">
        <f>E191+#REF!</f>
        <v>#REF!</v>
      </c>
      <c r="F190" s="201" t="e">
        <f>F191+#REF!</f>
        <v>#REF!</v>
      </c>
      <c r="G190" s="201" t="e">
        <f>G191+#REF!</f>
        <v>#REF!</v>
      </c>
      <c r="H190" s="201" t="e">
        <f>H191+#REF!</f>
        <v>#REF!</v>
      </c>
      <c r="I190" s="201" t="e">
        <f>I191+#REF!</f>
        <v>#REF!</v>
      </c>
      <c r="J190" s="201" t="e">
        <f>J191+#REF!</f>
        <v>#REF!</v>
      </c>
      <c r="K190" s="357">
        <f>K191+K194</f>
        <v>525200</v>
      </c>
      <c r="L190" s="357">
        <f>L191+L194</f>
        <v>731526</v>
      </c>
      <c r="M190" s="473">
        <f t="shared" si="34"/>
        <v>1.392852246763138</v>
      </c>
      <c r="N190" s="357">
        <f aca="true" t="shared" si="44" ref="N190:T190">N191+N194</f>
        <v>731526</v>
      </c>
      <c r="O190" s="357">
        <f t="shared" si="44"/>
        <v>0</v>
      </c>
      <c r="P190" s="357">
        <f t="shared" si="44"/>
        <v>0</v>
      </c>
      <c r="Q190" s="357">
        <f t="shared" si="44"/>
        <v>0</v>
      </c>
      <c r="R190" s="357">
        <f t="shared" si="44"/>
        <v>535200</v>
      </c>
      <c r="S190" s="357">
        <f t="shared" si="44"/>
        <v>196326</v>
      </c>
      <c r="T190" s="493">
        <f t="shared" si="44"/>
        <v>0</v>
      </c>
    </row>
    <row r="191" spans="1:20" s="167" customFormat="1" ht="30" customHeight="1">
      <c r="A191" s="513" t="s">
        <v>114</v>
      </c>
      <c r="B191" s="509"/>
      <c r="C191" s="327" t="s">
        <v>115</v>
      </c>
      <c r="D191" s="326">
        <f>D193</f>
        <v>2700</v>
      </c>
      <c r="E191" s="326">
        <f>E193</f>
        <v>360000</v>
      </c>
      <c r="F191" s="326">
        <f>F193</f>
        <v>0</v>
      </c>
      <c r="G191" s="326">
        <f>G193</f>
        <v>0</v>
      </c>
      <c r="H191" s="326">
        <f>H193+H194</f>
        <v>496142</v>
      </c>
      <c r="I191" s="326">
        <f>I193+I194</f>
        <v>0</v>
      </c>
      <c r="J191" s="326">
        <f>J193+J194</f>
        <v>0</v>
      </c>
      <c r="K191" s="353">
        <f>K192+K193</f>
        <v>525200</v>
      </c>
      <c r="L191" s="353">
        <f>L192+L193</f>
        <v>535200</v>
      </c>
      <c r="M191" s="539">
        <f t="shared" si="34"/>
        <v>1.019040365575019</v>
      </c>
      <c r="N191" s="353">
        <f aca="true" t="shared" si="45" ref="N191:T191">N192+N193</f>
        <v>535200</v>
      </c>
      <c r="O191" s="353">
        <f t="shared" si="45"/>
        <v>0</v>
      </c>
      <c r="P191" s="353">
        <f t="shared" si="45"/>
        <v>0</v>
      </c>
      <c r="Q191" s="353">
        <f t="shared" si="45"/>
        <v>0</v>
      </c>
      <c r="R191" s="353">
        <f t="shared" si="45"/>
        <v>535200</v>
      </c>
      <c r="S191" s="353">
        <f t="shared" si="45"/>
        <v>0</v>
      </c>
      <c r="T191" s="491">
        <f t="shared" si="45"/>
        <v>0</v>
      </c>
    </row>
    <row r="192" spans="1:20" s="167" customFormat="1" ht="18" customHeight="1">
      <c r="A192" s="525"/>
      <c r="B192" s="518" t="s">
        <v>16</v>
      </c>
      <c r="C192" s="129" t="s">
        <v>913</v>
      </c>
      <c r="D192" s="325"/>
      <c r="E192" s="325"/>
      <c r="F192" s="325"/>
      <c r="G192" s="325"/>
      <c r="H192" s="325"/>
      <c r="I192" s="325"/>
      <c r="J192" s="325"/>
      <c r="K192" s="358">
        <v>20200</v>
      </c>
      <c r="L192" s="358">
        <v>20200</v>
      </c>
      <c r="M192" s="356">
        <f t="shared" si="34"/>
        <v>1</v>
      </c>
      <c r="N192" s="358">
        <f>L192</f>
        <v>20200</v>
      </c>
      <c r="O192" s="358"/>
      <c r="P192" s="358"/>
      <c r="Q192" s="358"/>
      <c r="R192" s="363">
        <f>N192</f>
        <v>20200</v>
      </c>
      <c r="S192" s="356"/>
      <c r="T192" s="492"/>
    </row>
    <row r="193" spans="1:20" s="167" customFormat="1" ht="17.25" customHeight="1">
      <c r="A193" s="515"/>
      <c r="B193" s="145" t="s">
        <v>116</v>
      </c>
      <c r="C193" s="129" t="s">
        <v>312</v>
      </c>
      <c r="D193" s="6">
        <v>2700</v>
      </c>
      <c r="E193" s="14">
        <v>360000</v>
      </c>
      <c r="F193" s="14">
        <v>0</v>
      </c>
      <c r="G193" s="14">
        <v>0</v>
      </c>
      <c r="H193" s="14">
        <v>463742</v>
      </c>
      <c r="I193" s="14">
        <v>0</v>
      </c>
      <c r="J193" s="14">
        <v>0</v>
      </c>
      <c r="K193" s="130">
        <v>505000</v>
      </c>
      <c r="L193" s="130">
        <v>515000</v>
      </c>
      <c r="M193" s="356">
        <f t="shared" si="34"/>
        <v>1.0198019801980198</v>
      </c>
      <c r="N193" s="358">
        <f>L193</f>
        <v>515000</v>
      </c>
      <c r="O193" s="130">
        <v>0</v>
      </c>
      <c r="P193" s="354"/>
      <c r="Q193" s="355">
        <v>0</v>
      </c>
      <c r="R193" s="363">
        <f>N193</f>
        <v>515000</v>
      </c>
      <c r="S193" s="356"/>
      <c r="T193" s="492"/>
    </row>
    <row r="194" spans="1:20" s="166" customFormat="1" ht="65.25" customHeight="1">
      <c r="A194" s="513" t="s">
        <v>117</v>
      </c>
      <c r="B194" s="509"/>
      <c r="C194" s="327" t="s">
        <v>407</v>
      </c>
      <c r="D194" s="326">
        <v>0</v>
      </c>
      <c r="E194" s="326">
        <v>390000</v>
      </c>
      <c r="F194" s="326">
        <v>0</v>
      </c>
      <c r="G194" s="326">
        <v>0</v>
      </c>
      <c r="H194" s="326">
        <v>32400</v>
      </c>
      <c r="I194" s="326">
        <v>0</v>
      </c>
      <c r="J194" s="326">
        <v>0</v>
      </c>
      <c r="K194" s="353">
        <f>K195+K196</f>
        <v>0</v>
      </c>
      <c r="L194" s="353">
        <f>L195+L196</f>
        <v>196326</v>
      </c>
      <c r="M194" s="539">
        <v>0</v>
      </c>
      <c r="N194" s="353">
        <f aca="true" t="shared" si="46" ref="N194:T194">N195+N196</f>
        <v>196326</v>
      </c>
      <c r="O194" s="353">
        <f t="shared" si="46"/>
        <v>0</v>
      </c>
      <c r="P194" s="353">
        <f t="shared" si="46"/>
        <v>0</v>
      </c>
      <c r="Q194" s="353">
        <f t="shared" si="46"/>
        <v>0</v>
      </c>
      <c r="R194" s="353">
        <f t="shared" si="46"/>
        <v>0</v>
      </c>
      <c r="S194" s="353">
        <f t="shared" si="46"/>
        <v>196326</v>
      </c>
      <c r="T194" s="491">
        <f t="shared" si="46"/>
        <v>0</v>
      </c>
    </row>
    <row r="195" spans="1:20" s="166" customFormat="1" ht="17.25" customHeight="1">
      <c r="A195" s="515"/>
      <c r="B195" s="145" t="s">
        <v>118</v>
      </c>
      <c r="C195" s="129" t="s">
        <v>681</v>
      </c>
      <c r="D195" s="14"/>
      <c r="E195" s="14"/>
      <c r="F195" s="14"/>
      <c r="G195" s="14"/>
      <c r="H195" s="14"/>
      <c r="I195" s="14"/>
      <c r="J195" s="14"/>
      <c r="K195" s="130">
        <v>0</v>
      </c>
      <c r="L195" s="130">
        <v>73217</v>
      </c>
      <c r="M195" s="356">
        <v>0</v>
      </c>
      <c r="N195" s="130">
        <f>L195</f>
        <v>73217</v>
      </c>
      <c r="O195" s="134">
        <f>O196+O197</f>
        <v>0</v>
      </c>
      <c r="P195" s="130"/>
      <c r="Q195" s="358"/>
      <c r="R195" s="356"/>
      <c r="S195" s="363">
        <f>N195</f>
        <v>73217</v>
      </c>
      <c r="T195" s="492"/>
    </row>
    <row r="196" spans="1:20" s="167" customFormat="1" ht="15" customHeight="1">
      <c r="A196" s="515"/>
      <c r="B196" s="145" t="s">
        <v>118</v>
      </c>
      <c r="C196" s="129" t="s">
        <v>681</v>
      </c>
      <c r="D196" s="6"/>
      <c r="E196" s="14"/>
      <c r="F196" s="14"/>
      <c r="G196" s="14"/>
      <c r="H196" s="14"/>
      <c r="I196" s="14"/>
      <c r="J196" s="14"/>
      <c r="K196" s="130">
        <v>0</v>
      </c>
      <c r="L196" s="130">
        <v>123109</v>
      </c>
      <c r="M196" s="356">
        <v>0</v>
      </c>
      <c r="N196" s="130">
        <f>L196</f>
        <v>123109</v>
      </c>
      <c r="O196" s="130">
        <v>0</v>
      </c>
      <c r="P196" s="354"/>
      <c r="Q196" s="355">
        <v>0</v>
      </c>
      <c r="R196" s="356"/>
      <c r="S196" s="363">
        <f>N196</f>
        <v>123109</v>
      </c>
      <c r="T196" s="492"/>
    </row>
    <row r="197" spans="1:20" s="167" customFormat="1" ht="16.5" customHeight="1">
      <c r="A197" s="511" t="s">
        <v>119</v>
      </c>
      <c r="B197" s="522"/>
      <c r="C197" s="215" t="s">
        <v>120</v>
      </c>
      <c r="D197" s="201" t="e">
        <f aca="true" t="shared" si="47" ref="D197:L197">D198</f>
        <v>#REF!</v>
      </c>
      <c r="E197" s="201" t="e">
        <f t="shared" si="47"/>
        <v>#REF!</v>
      </c>
      <c r="F197" s="201">
        <f t="shared" si="47"/>
        <v>0</v>
      </c>
      <c r="G197" s="201">
        <f t="shared" si="47"/>
        <v>0</v>
      </c>
      <c r="H197" s="201">
        <f t="shared" si="47"/>
        <v>53260</v>
      </c>
      <c r="I197" s="201">
        <f t="shared" si="47"/>
        <v>0</v>
      </c>
      <c r="J197" s="201">
        <f t="shared" si="47"/>
        <v>0</v>
      </c>
      <c r="K197" s="357">
        <f t="shared" si="47"/>
        <v>0</v>
      </c>
      <c r="L197" s="357">
        <f t="shared" si="47"/>
        <v>410361</v>
      </c>
      <c r="M197" s="473">
        <v>0</v>
      </c>
      <c r="N197" s="357">
        <f aca="true" t="shared" si="48" ref="N197:T197">N198</f>
        <v>410361</v>
      </c>
      <c r="O197" s="357">
        <f t="shared" si="48"/>
        <v>0</v>
      </c>
      <c r="P197" s="357">
        <f t="shared" si="48"/>
        <v>0</v>
      </c>
      <c r="Q197" s="357">
        <f t="shared" si="48"/>
        <v>0</v>
      </c>
      <c r="R197" s="357">
        <f t="shared" si="48"/>
        <v>0</v>
      </c>
      <c r="S197" s="357">
        <f t="shared" si="48"/>
        <v>0</v>
      </c>
      <c r="T197" s="493">
        <f t="shared" si="48"/>
        <v>0</v>
      </c>
    </row>
    <row r="198" spans="1:20" s="167" customFormat="1" ht="16.5" customHeight="1">
      <c r="A198" s="513" t="s">
        <v>121</v>
      </c>
      <c r="B198" s="509"/>
      <c r="C198" s="327" t="s">
        <v>122</v>
      </c>
      <c r="D198" s="326" t="e">
        <f>D199+D200+#REF!</f>
        <v>#REF!</v>
      </c>
      <c r="E198" s="326" t="e">
        <f>E199+E200+#REF!</f>
        <v>#REF!</v>
      </c>
      <c r="F198" s="326">
        <f aca="true" t="shared" si="49" ref="F198:L198">F199+F200</f>
        <v>0</v>
      </c>
      <c r="G198" s="326">
        <f t="shared" si="49"/>
        <v>0</v>
      </c>
      <c r="H198" s="326">
        <f t="shared" si="49"/>
        <v>53260</v>
      </c>
      <c r="I198" s="326">
        <f t="shared" si="49"/>
        <v>0</v>
      </c>
      <c r="J198" s="326">
        <f t="shared" si="49"/>
        <v>0</v>
      </c>
      <c r="K198" s="353">
        <f t="shared" si="49"/>
        <v>0</v>
      </c>
      <c r="L198" s="353">
        <f t="shared" si="49"/>
        <v>410361</v>
      </c>
      <c r="M198" s="539">
        <v>0</v>
      </c>
      <c r="N198" s="353">
        <f aca="true" t="shared" si="50" ref="N198:T198">N199+N200</f>
        <v>410361</v>
      </c>
      <c r="O198" s="353">
        <f t="shared" si="50"/>
        <v>0</v>
      </c>
      <c r="P198" s="353">
        <f t="shared" si="50"/>
        <v>0</v>
      </c>
      <c r="Q198" s="353">
        <f t="shared" si="50"/>
        <v>0</v>
      </c>
      <c r="R198" s="353">
        <f t="shared" si="50"/>
        <v>0</v>
      </c>
      <c r="S198" s="353">
        <f t="shared" si="50"/>
        <v>0</v>
      </c>
      <c r="T198" s="491">
        <f t="shared" si="50"/>
        <v>0</v>
      </c>
    </row>
    <row r="199" spans="1:20" s="167" customFormat="1" ht="17.25" customHeight="1">
      <c r="A199" s="515"/>
      <c r="B199" s="145" t="s">
        <v>123</v>
      </c>
      <c r="C199" s="129" t="s">
        <v>124</v>
      </c>
      <c r="D199" s="6">
        <v>0</v>
      </c>
      <c r="E199" s="14">
        <v>0</v>
      </c>
      <c r="F199" s="14">
        <v>0</v>
      </c>
      <c r="G199" s="14">
        <v>0</v>
      </c>
      <c r="H199" s="6">
        <v>18000</v>
      </c>
      <c r="I199" s="6"/>
      <c r="J199" s="6">
        <v>0</v>
      </c>
      <c r="K199" s="130">
        <v>0</v>
      </c>
      <c r="L199" s="130">
        <v>34647</v>
      </c>
      <c r="M199" s="356">
        <v>0</v>
      </c>
      <c r="N199" s="130">
        <f>L199</f>
        <v>34647</v>
      </c>
      <c r="O199" s="130">
        <v>0</v>
      </c>
      <c r="P199" s="354"/>
      <c r="Q199" s="355">
        <v>0</v>
      </c>
      <c r="R199" s="356"/>
      <c r="S199" s="356"/>
      <c r="T199" s="492"/>
    </row>
    <row r="200" spans="1:20" s="167" customFormat="1" ht="16.5" customHeight="1">
      <c r="A200" s="515"/>
      <c r="B200" s="145" t="s">
        <v>123</v>
      </c>
      <c r="C200" s="129" t="s">
        <v>125</v>
      </c>
      <c r="D200" s="6">
        <v>0</v>
      </c>
      <c r="E200" s="14">
        <v>0</v>
      </c>
      <c r="F200" s="14">
        <v>0</v>
      </c>
      <c r="G200" s="14">
        <v>0</v>
      </c>
      <c r="H200" s="6">
        <v>35260</v>
      </c>
      <c r="I200" s="6">
        <v>0</v>
      </c>
      <c r="J200" s="6">
        <v>0</v>
      </c>
      <c r="K200" s="130"/>
      <c r="L200" s="130">
        <v>375714</v>
      </c>
      <c r="M200" s="356">
        <v>0</v>
      </c>
      <c r="N200" s="130">
        <f>L200</f>
        <v>375714</v>
      </c>
      <c r="O200" s="130">
        <v>0</v>
      </c>
      <c r="P200" s="354"/>
      <c r="Q200" s="355">
        <v>0</v>
      </c>
      <c r="R200" s="356"/>
      <c r="S200" s="356"/>
      <c r="T200" s="492"/>
    </row>
    <row r="201" spans="1:20" s="167" customFormat="1" ht="21.75" customHeight="1">
      <c r="A201" s="511" t="s">
        <v>126</v>
      </c>
      <c r="B201" s="522"/>
      <c r="C201" s="215" t="s">
        <v>127</v>
      </c>
      <c r="D201" s="201" t="e">
        <f>D202+D220+D234+D325+D273+D304+D338+#REF!</f>
        <v>#REF!</v>
      </c>
      <c r="E201" s="201" t="e">
        <f>E202+E220+E234+E325+E273+E304+E338+#REF!+#REF!+E354+E351+#REF!</f>
        <v>#REF!</v>
      </c>
      <c r="F201" s="201" t="e">
        <f>F202+F220+F234+F273+F304+F325+F338+#REF!+F351+F354+#REF!+#REF!</f>
        <v>#REF!</v>
      </c>
      <c r="G201" s="201" t="e">
        <f>G202+G220+G234+G273+G304+G325+G338+#REF!+G351+G354+#REF!+#REF!</f>
        <v>#REF!</v>
      </c>
      <c r="H201" s="201" t="e">
        <f>H202+H218+H220+H234+H263+H273+H338+H351+H354+#REF!</f>
        <v>#REF!</v>
      </c>
      <c r="I201" s="201" t="e">
        <f>I202+I218+I220+I234+I263+I273+I338+I351+I354+#REF!</f>
        <v>#REF!</v>
      </c>
      <c r="J201" s="201" t="e">
        <f>J202+J218+J220+J234+J263+J273+J338+J351+J354+#REF!</f>
        <v>#REF!</v>
      </c>
      <c r="K201" s="357">
        <f>K202+K218+K220+K234+K263+K273+K338+K351+K354+K362</f>
        <v>10825356</v>
      </c>
      <c r="L201" s="357">
        <f>L202+L218+L220+L234+L263+L273+L338+L351+L354+L362</f>
        <v>10767409</v>
      </c>
      <c r="M201" s="473">
        <f t="shared" si="34"/>
        <v>0.9946471044462648</v>
      </c>
      <c r="N201" s="357">
        <f aca="true" t="shared" si="51" ref="N201:T201">N202+N218+N220+N234+N263+N273+N338+N351+N354+N362</f>
        <v>10767409</v>
      </c>
      <c r="O201" s="357">
        <f t="shared" si="51"/>
        <v>6527785</v>
      </c>
      <c r="P201" s="357">
        <f t="shared" si="51"/>
        <v>1215404</v>
      </c>
      <c r="Q201" s="357">
        <f t="shared" si="51"/>
        <v>1356190</v>
      </c>
      <c r="R201" s="357">
        <f t="shared" si="51"/>
        <v>0</v>
      </c>
      <c r="S201" s="357">
        <f t="shared" si="51"/>
        <v>0</v>
      </c>
      <c r="T201" s="493">
        <f t="shared" si="51"/>
        <v>0</v>
      </c>
    </row>
    <row r="202" spans="1:20" s="167" customFormat="1" ht="27.75" customHeight="1">
      <c r="A202" s="513" t="s">
        <v>128</v>
      </c>
      <c r="B202" s="509"/>
      <c r="C202" s="327" t="s">
        <v>129</v>
      </c>
      <c r="D202" s="326" t="e">
        <f>D203+D204+D205+#REF!</f>
        <v>#REF!</v>
      </c>
      <c r="E202" s="326" t="e">
        <f>E203+E204+E205+E206+#REF!+E208+#REF!+E209+#REF!+E211+E213+E214</f>
        <v>#REF!</v>
      </c>
      <c r="F202" s="326" t="e">
        <f>F203+F204+F205+F206+#REF!+F208+#REF!+F209+#REF!+F211+F213+F214</f>
        <v>#REF!</v>
      </c>
      <c r="G202" s="326" t="e">
        <f>G203+G204+G205+G206+#REF!+G208+#REF!+G209+#REF!+G211+G213+G214</f>
        <v>#REF!</v>
      </c>
      <c r="H202" s="326" t="e">
        <f>H203+H204+H205+H206+H208+H209+H211+H213+H214+H217+#REF!</f>
        <v>#REF!</v>
      </c>
      <c r="I202" s="326" t="e">
        <f>I203+I204+I205+I206+I208+I209+I211+I213+I214+I217+#REF!</f>
        <v>#REF!</v>
      </c>
      <c r="J202" s="326" t="e">
        <f>J203+J204+J205+J206+J208+J209+J211+J213+J214+J217+#REF!</f>
        <v>#REF!</v>
      </c>
      <c r="K202" s="353">
        <f>SUM(K203:K217)</f>
        <v>797073</v>
      </c>
      <c r="L202" s="353">
        <f>SUM(L203:L217)</f>
        <v>992446</v>
      </c>
      <c r="M202" s="539">
        <f aca="true" t="shared" si="52" ref="M202:M265">L202/K202</f>
        <v>1.2451130573987577</v>
      </c>
      <c r="N202" s="353">
        <f aca="true" t="shared" si="53" ref="N202:T202">SUM(N203:N217)</f>
        <v>992446</v>
      </c>
      <c r="O202" s="353">
        <f t="shared" si="53"/>
        <v>376915</v>
      </c>
      <c r="P202" s="353">
        <f t="shared" si="53"/>
        <v>69727</v>
      </c>
      <c r="Q202" s="353">
        <f t="shared" si="53"/>
        <v>448002</v>
      </c>
      <c r="R202" s="353">
        <f t="shared" si="53"/>
        <v>0</v>
      </c>
      <c r="S202" s="353">
        <f t="shared" si="53"/>
        <v>0</v>
      </c>
      <c r="T202" s="491">
        <f t="shared" si="53"/>
        <v>0</v>
      </c>
    </row>
    <row r="203" spans="1:20" s="167" customFormat="1" ht="15.75" customHeight="1">
      <c r="A203" s="516"/>
      <c r="B203" s="145" t="s">
        <v>2</v>
      </c>
      <c r="C203" s="129" t="s">
        <v>3</v>
      </c>
      <c r="D203" s="6">
        <v>866965</v>
      </c>
      <c r="E203" s="6">
        <v>823342</v>
      </c>
      <c r="F203" s="6">
        <v>45000</v>
      </c>
      <c r="G203" s="6">
        <v>24814</v>
      </c>
      <c r="H203" s="6">
        <v>355622</v>
      </c>
      <c r="I203" s="6">
        <v>0</v>
      </c>
      <c r="J203" s="6">
        <v>0</v>
      </c>
      <c r="K203" s="130">
        <v>363273</v>
      </c>
      <c r="L203" s="130">
        <v>345760</v>
      </c>
      <c r="M203" s="356">
        <f t="shared" si="52"/>
        <v>0.951791077233926</v>
      </c>
      <c r="N203" s="130">
        <f>L203</f>
        <v>345760</v>
      </c>
      <c r="O203" s="130">
        <f>N203</f>
        <v>345760</v>
      </c>
      <c r="P203" s="354"/>
      <c r="Q203" s="355">
        <v>0</v>
      </c>
      <c r="R203" s="356"/>
      <c r="S203" s="356"/>
      <c r="T203" s="492"/>
    </row>
    <row r="204" spans="1:20" s="167" customFormat="1" ht="15.75" customHeight="1">
      <c r="A204" s="516"/>
      <c r="B204" s="145" t="s">
        <v>6</v>
      </c>
      <c r="C204" s="129" t="s">
        <v>7</v>
      </c>
      <c r="D204" s="6">
        <v>75166</v>
      </c>
      <c r="E204" s="6">
        <v>81513</v>
      </c>
      <c r="F204" s="6">
        <v>0</v>
      </c>
      <c r="G204" s="6">
        <v>0</v>
      </c>
      <c r="H204" s="6">
        <v>40794</v>
      </c>
      <c r="I204" s="6">
        <v>0</v>
      </c>
      <c r="J204" s="6">
        <v>0</v>
      </c>
      <c r="K204" s="130">
        <v>26941</v>
      </c>
      <c r="L204" s="130">
        <v>30155</v>
      </c>
      <c r="M204" s="356">
        <f t="shared" si="52"/>
        <v>1.119297724657585</v>
      </c>
      <c r="N204" s="130">
        <f aca="true" t="shared" si="54" ref="N204:N217">L204</f>
        <v>30155</v>
      </c>
      <c r="O204" s="130">
        <f>N204</f>
        <v>30155</v>
      </c>
      <c r="P204" s="354"/>
      <c r="Q204" s="355">
        <v>0</v>
      </c>
      <c r="R204" s="356"/>
      <c r="S204" s="356"/>
      <c r="T204" s="492"/>
    </row>
    <row r="205" spans="1:20" s="167" customFormat="1" ht="15" customHeight="1">
      <c r="A205" s="516"/>
      <c r="B205" s="519" t="s">
        <v>56</v>
      </c>
      <c r="C205" s="129" t="s">
        <v>34</v>
      </c>
      <c r="D205" s="6">
        <v>205528</v>
      </c>
      <c r="E205" s="6">
        <v>158209</v>
      </c>
      <c r="F205" s="6">
        <v>8046</v>
      </c>
      <c r="G205" s="6">
        <v>4948</v>
      </c>
      <c r="H205" s="6">
        <v>70500</v>
      </c>
      <c r="I205" s="6">
        <v>0</v>
      </c>
      <c r="J205" s="6">
        <v>0</v>
      </c>
      <c r="K205" s="130">
        <v>68900</v>
      </c>
      <c r="L205" s="130">
        <v>61138</v>
      </c>
      <c r="M205" s="356">
        <f t="shared" si="52"/>
        <v>0.8873439767779391</v>
      </c>
      <c r="N205" s="130">
        <f t="shared" si="54"/>
        <v>61138</v>
      </c>
      <c r="O205" s="130">
        <v>0</v>
      </c>
      <c r="P205" s="354">
        <f>L205</f>
        <v>61138</v>
      </c>
      <c r="Q205" s="355">
        <v>0</v>
      </c>
      <c r="R205" s="356"/>
      <c r="S205" s="356"/>
      <c r="T205" s="492"/>
    </row>
    <row r="206" spans="1:20" s="167" customFormat="1" ht="15" customHeight="1">
      <c r="A206" s="516"/>
      <c r="B206" s="519" t="s">
        <v>8</v>
      </c>
      <c r="C206" s="129" t="s">
        <v>9</v>
      </c>
      <c r="D206" s="6"/>
      <c r="E206" s="6">
        <v>21676</v>
      </c>
      <c r="F206" s="6">
        <v>1102</v>
      </c>
      <c r="G206" s="6">
        <v>680</v>
      </c>
      <c r="H206" s="6">
        <v>9660</v>
      </c>
      <c r="I206" s="6">
        <v>0</v>
      </c>
      <c r="J206" s="6">
        <v>0</v>
      </c>
      <c r="K206" s="130">
        <v>11000</v>
      </c>
      <c r="L206" s="130">
        <v>8589</v>
      </c>
      <c r="M206" s="356">
        <f t="shared" si="52"/>
        <v>0.7808181818181819</v>
      </c>
      <c r="N206" s="130">
        <f t="shared" si="54"/>
        <v>8589</v>
      </c>
      <c r="O206" s="130">
        <v>0</v>
      </c>
      <c r="P206" s="354">
        <f>L206</f>
        <v>8589</v>
      </c>
      <c r="Q206" s="355">
        <v>0</v>
      </c>
      <c r="R206" s="356"/>
      <c r="S206" s="356"/>
      <c r="T206" s="492"/>
    </row>
    <row r="207" spans="1:20" s="167" customFormat="1" ht="15" customHeight="1">
      <c r="A207" s="516"/>
      <c r="B207" s="519" t="s">
        <v>735</v>
      </c>
      <c r="C207" s="129" t="s">
        <v>736</v>
      </c>
      <c r="D207" s="6"/>
      <c r="E207" s="6"/>
      <c r="F207" s="6"/>
      <c r="G207" s="6"/>
      <c r="H207" s="6"/>
      <c r="I207" s="6"/>
      <c r="J207" s="6"/>
      <c r="K207" s="130">
        <v>900</v>
      </c>
      <c r="L207" s="130">
        <v>1000</v>
      </c>
      <c r="M207" s="356">
        <f t="shared" si="52"/>
        <v>1.1111111111111112</v>
      </c>
      <c r="N207" s="130">
        <f t="shared" si="54"/>
        <v>1000</v>
      </c>
      <c r="O207" s="130">
        <f>N207</f>
        <v>1000</v>
      </c>
      <c r="P207" s="354"/>
      <c r="Q207" s="355"/>
      <c r="R207" s="356"/>
      <c r="S207" s="356"/>
      <c r="T207" s="492"/>
    </row>
    <row r="208" spans="1:20" s="167" customFormat="1" ht="16.5" customHeight="1">
      <c r="A208" s="516"/>
      <c r="B208" s="519" t="s">
        <v>10</v>
      </c>
      <c r="C208" s="129" t="s">
        <v>132</v>
      </c>
      <c r="D208" s="6"/>
      <c r="E208" s="6">
        <v>35892</v>
      </c>
      <c r="F208" s="6">
        <v>2000</v>
      </c>
      <c r="G208" s="6">
        <v>0</v>
      </c>
      <c r="H208" s="6">
        <v>22000</v>
      </c>
      <c r="I208" s="6">
        <v>0</v>
      </c>
      <c r="J208" s="6">
        <v>0</v>
      </c>
      <c r="K208" s="130">
        <v>43530</v>
      </c>
      <c r="L208" s="130">
        <v>44357</v>
      </c>
      <c r="M208" s="356">
        <f t="shared" si="52"/>
        <v>1.0189983919136227</v>
      </c>
      <c r="N208" s="130">
        <f t="shared" si="54"/>
        <v>44357</v>
      </c>
      <c r="O208" s="130">
        <v>0</v>
      </c>
      <c r="P208" s="354"/>
      <c r="Q208" s="355">
        <v>0</v>
      </c>
      <c r="R208" s="356"/>
      <c r="S208" s="356"/>
      <c r="T208" s="492"/>
    </row>
    <row r="209" spans="1:20" s="167" customFormat="1" ht="16.5" customHeight="1">
      <c r="A209" s="516"/>
      <c r="B209" s="519" t="s">
        <v>12</v>
      </c>
      <c r="C209" s="129" t="s">
        <v>97</v>
      </c>
      <c r="D209" s="6"/>
      <c r="E209" s="6">
        <v>12822</v>
      </c>
      <c r="F209" s="6">
        <v>0</v>
      </c>
      <c r="G209" s="6">
        <v>0</v>
      </c>
      <c r="H209" s="6">
        <v>8850</v>
      </c>
      <c r="I209" s="6">
        <v>0</v>
      </c>
      <c r="J209" s="6">
        <v>0</v>
      </c>
      <c r="K209" s="130">
        <v>9135</v>
      </c>
      <c r="L209" s="130">
        <v>9309</v>
      </c>
      <c r="M209" s="356">
        <f t="shared" si="52"/>
        <v>1.019047619047619</v>
      </c>
      <c r="N209" s="130">
        <f t="shared" si="54"/>
        <v>9309</v>
      </c>
      <c r="O209" s="130">
        <v>0</v>
      </c>
      <c r="P209" s="354"/>
      <c r="Q209" s="355">
        <v>0</v>
      </c>
      <c r="R209" s="356"/>
      <c r="S209" s="356"/>
      <c r="T209" s="492"/>
    </row>
    <row r="210" spans="1:20" s="167" customFormat="1" ht="16.5" customHeight="1">
      <c r="A210" s="516"/>
      <c r="B210" s="519" t="s">
        <v>76</v>
      </c>
      <c r="C210" s="129" t="s">
        <v>77</v>
      </c>
      <c r="D210" s="6"/>
      <c r="E210" s="6"/>
      <c r="F210" s="6"/>
      <c r="G210" s="6"/>
      <c r="H210" s="6"/>
      <c r="I210" s="6"/>
      <c r="J210" s="6"/>
      <c r="K210" s="130">
        <v>1800</v>
      </c>
      <c r="L210" s="130">
        <v>2200</v>
      </c>
      <c r="M210" s="356">
        <f t="shared" si="52"/>
        <v>1.2222222222222223</v>
      </c>
      <c r="N210" s="130">
        <f t="shared" si="54"/>
        <v>2200</v>
      </c>
      <c r="O210" s="130">
        <v>0</v>
      </c>
      <c r="P210" s="354"/>
      <c r="Q210" s="355">
        <v>0</v>
      </c>
      <c r="R210" s="356"/>
      <c r="S210" s="356"/>
      <c r="T210" s="492"/>
    </row>
    <row r="211" spans="1:20" s="167" customFormat="1" ht="16.5" customHeight="1">
      <c r="A211" s="516"/>
      <c r="B211" s="519" t="s">
        <v>16</v>
      </c>
      <c r="C211" s="129" t="s">
        <v>99</v>
      </c>
      <c r="D211" s="6"/>
      <c r="E211" s="6">
        <v>9517</v>
      </c>
      <c r="F211" s="6">
        <v>0</v>
      </c>
      <c r="G211" s="6">
        <v>0</v>
      </c>
      <c r="H211" s="6">
        <v>5400</v>
      </c>
      <c r="I211" s="6">
        <v>0</v>
      </c>
      <c r="J211" s="6">
        <v>0</v>
      </c>
      <c r="K211" s="130">
        <v>11400</v>
      </c>
      <c r="L211" s="130">
        <v>11617</v>
      </c>
      <c r="M211" s="356">
        <f t="shared" si="52"/>
        <v>1.0190350877192982</v>
      </c>
      <c r="N211" s="130">
        <f t="shared" si="54"/>
        <v>11617</v>
      </c>
      <c r="O211" s="130">
        <v>0</v>
      </c>
      <c r="P211" s="354"/>
      <c r="Q211" s="355">
        <v>0</v>
      </c>
      <c r="R211" s="356"/>
      <c r="S211" s="356"/>
      <c r="T211" s="492"/>
    </row>
    <row r="212" spans="1:20" s="167" customFormat="1" ht="16.5" customHeight="1">
      <c r="A212" s="516"/>
      <c r="B212" s="519" t="s">
        <v>316</v>
      </c>
      <c r="C212" s="129" t="s">
        <v>320</v>
      </c>
      <c r="D212" s="6"/>
      <c r="E212" s="6"/>
      <c r="F212" s="6"/>
      <c r="G212" s="6"/>
      <c r="H212" s="6"/>
      <c r="I212" s="6"/>
      <c r="J212" s="6"/>
      <c r="K212" s="130">
        <v>800</v>
      </c>
      <c r="L212" s="130">
        <v>3000</v>
      </c>
      <c r="M212" s="356">
        <f t="shared" si="52"/>
        <v>3.75</v>
      </c>
      <c r="N212" s="130">
        <f t="shared" si="54"/>
        <v>3000</v>
      </c>
      <c r="O212" s="130"/>
      <c r="P212" s="354"/>
      <c r="Q212" s="355"/>
      <c r="R212" s="356"/>
      <c r="S212" s="356"/>
      <c r="T212" s="492"/>
    </row>
    <row r="213" spans="1:20" s="167" customFormat="1" ht="15" customHeight="1">
      <c r="A213" s="516"/>
      <c r="B213" s="519" t="s">
        <v>18</v>
      </c>
      <c r="C213" s="129" t="s">
        <v>19</v>
      </c>
      <c r="D213" s="6"/>
      <c r="E213" s="6">
        <v>229</v>
      </c>
      <c r="F213" s="6">
        <v>800</v>
      </c>
      <c r="G213" s="6">
        <v>0</v>
      </c>
      <c r="H213" s="6">
        <v>200</v>
      </c>
      <c r="I213" s="6">
        <v>0</v>
      </c>
      <c r="J213" s="6">
        <v>0</v>
      </c>
      <c r="K213" s="130">
        <v>1200</v>
      </c>
      <c r="L213" s="130">
        <v>1223</v>
      </c>
      <c r="M213" s="356">
        <f t="shared" si="52"/>
        <v>1.0191666666666668</v>
      </c>
      <c r="N213" s="130">
        <f t="shared" si="54"/>
        <v>1223</v>
      </c>
      <c r="O213" s="130">
        <v>0</v>
      </c>
      <c r="P213" s="354"/>
      <c r="Q213" s="355">
        <v>0</v>
      </c>
      <c r="R213" s="356"/>
      <c r="S213" s="356"/>
      <c r="T213" s="492"/>
    </row>
    <row r="214" spans="1:20" s="167" customFormat="1" ht="17.25" customHeight="1">
      <c r="A214" s="516"/>
      <c r="B214" s="519" t="s">
        <v>22</v>
      </c>
      <c r="C214" s="129" t="s">
        <v>23</v>
      </c>
      <c r="D214" s="6"/>
      <c r="E214" s="6">
        <v>60464</v>
      </c>
      <c r="F214" s="6">
        <v>0</v>
      </c>
      <c r="G214" s="6">
        <v>0</v>
      </c>
      <c r="H214" s="6">
        <v>17534</v>
      </c>
      <c r="I214" s="6">
        <v>0</v>
      </c>
      <c r="J214" s="6">
        <v>0</v>
      </c>
      <c r="K214" s="130">
        <v>29453</v>
      </c>
      <c r="L214" s="130">
        <v>19496</v>
      </c>
      <c r="M214" s="356">
        <f t="shared" si="52"/>
        <v>0.6619359657759821</v>
      </c>
      <c r="N214" s="130">
        <f t="shared" si="54"/>
        <v>19496</v>
      </c>
      <c r="O214" s="130">
        <v>0</v>
      </c>
      <c r="P214" s="354"/>
      <c r="Q214" s="355">
        <v>0</v>
      </c>
      <c r="R214" s="356"/>
      <c r="S214" s="356"/>
      <c r="T214" s="492"/>
    </row>
    <row r="215" spans="1:20" s="167" customFormat="1" ht="17.25" customHeight="1">
      <c r="A215" s="516"/>
      <c r="B215" s="519" t="s">
        <v>318</v>
      </c>
      <c r="C215" s="129" t="s">
        <v>322</v>
      </c>
      <c r="D215" s="6"/>
      <c r="E215" s="6"/>
      <c r="F215" s="6"/>
      <c r="G215" s="6"/>
      <c r="H215" s="6"/>
      <c r="I215" s="6"/>
      <c r="J215" s="6"/>
      <c r="K215" s="130">
        <v>1800</v>
      </c>
      <c r="L215" s="130">
        <v>3000</v>
      </c>
      <c r="M215" s="356">
        <f t="shared" si="52"/>
        <v>1.6666666666666667</v>
      </c>
      <c r="N215" s="130">
        <f t="shared" si="54"/>
        <v>3000</v>
      </c>
      <c r="O215" s="130"/>
      <c r="P215" s="354"/>
      <c r="Q215" s="355"/>
      <c r="R215" s="356"/>
      <c r="S215" s="356"/>
      <c r="T215" s="492"/>
    </row>
    <row r="216" spans="1:20" s="167" customFormat="1" ht="17.25" customHeight="1">
      <c r="A216" s="516"/>
      <c r="B216" s="519" t="s">
        <v>319</v>
      </c>
      <c r="C216" s="129" t="s">
        <v>323</v>
      </c>
      <c r="D216" s="6"/>
      <c r="E216" s="6"/>
      <c r="F216" s="6"/>
      <c r="G216" s="6"/>
      <c r="H216" s="6"/>
      <c r="I216" s="6"/>
      <c r="J216" s="6"/>
      <c r="K216" s="130">
        <v>1650</v>
      </c>
      <c r="L216" s="130">
        <v>3600</v>
      </c>
      <c r="M216" s="356">
        <f t="shared" si="52"/>
        <v>2.1818181818181817</v>
      </c>
      <c r="N216" s="130">
        <f t="shared" si="54"/>
        <v>3600</v>
      </c>
      <c r="O216" s="130"/>
      <c r="P216" s="354"/>
      <c r="Q216" s="355"/>
      <c r="R216" s="356"/>
      <c r="S216" s="356"/>
      <c r="T216" s="492"/>
    </row>
    <row r="217" spans="1:20" s="167" customFormat="1" ht="24" customHeight="1">
      <c r="A217" s="516"/>
      <c r="B217" s="145" t="s">
        <v>136</v>
      </c>
      <c r="C217" s="129" t="s">
        <v>428</v>
      </c>
      <c r="D217" s="6"/>
      <c r="E217" s="6"/>
      <c r="F217" s="6"/>
      <c r="G217" s="6"/>
      <c r="H217" s="6">
        <v>181417</v>
      </c>
      <c r="I217" s="6">
        <v>0</v>
      </c>
      <c r="J217" s="6">
        <v>0</v>
      </c>
      <c r="K217" s="130">
        <v>225291</v>
      </c>
      <c r="L217" s="130">
        <v>448002</v>
      </c>
      <c r="M217" s="356">
        <f t="shared" si="52"/>
        <v>1.9885481443999093</v>
      </c>
      <c r="N217" s="130">
        <f t="shared" si="54"/>
        <v>448002</v>
      </c>
      <c r="O217" s="130">
        <v>0</v>
      </c>
      <c r="P217" s="354"/>
      <c r="Q217" s="355">
        <f>N217</f>
        <v>448002</v>
      </c>
      <c r="R217" s="356"/>
      <c r="S217" s="356"/>
      <c r="T217" s="492"/>
    </row>
    <row r="218" spans="1:20" s="167" customFormat="1" ht="18.75" customHeight="1">
      <c r="A218" s="513" t="s">
        <v>427</v>
      </c>
      <c r="B218" s="509"/>
      <c r="C218" s="327" t="s">
        <v>426</v>
      </c>
      <c r="D218" s="326"/>
      <c r="E218" s="326"/>
      <c r="F218" s="326"/>
      <c r="G218" s="326"/>
      <c r="H218" s="326">
        <f>H219</f>
        <v>65981</v>
      </c>
      <c r="I218" s="326">
        <f>I219</f>
        <v>0</v>
      </c>
      <c r="J218" s="326">
        <f>J219</f>
        <v>0</v>
      </c>
      <c r="K218" s="353">
        <f>K219</f>
        <v>102892</v>
      </c>
      <c r="L218" s="353">
        <f>L219</f>
        <v>71205</v>
      </c>
      <c r="M218" s="539">
        <f t="shared" si="52"/>
        <v>0.6920363099171948</v>
      </c>
      <c r="N218" s="353">
        <f aca="true" t="shared" si="55" ref="N218:T218">N219</f>
        <v>71205</v>
      </c>
      <c r="O218" s="353">
        <f t="shared" si="55"/>
        <v>0</v>
      </c>
      <c r="P218" s="353">
        <f t="shared" si="55"/>
        <v>0</v>
      </c>
      <c r="Q218" s="353">
        <f t="shared" si="55"/>
        <v>71205</v>
      </c>
      <c r="R218" s="353">
        <f t="shared" si="55"/>
        <v>0</v>
      </c>
      <c r="S218" s="353">
        <f t="shared" si="55"/>
        <v>0</v>
      </c>
      <c r="T218" s="491">
        <f t="shared" si="55"/>
        <v>0</v>
      </c>
    </row>
    <row r="219" spans="1:20" s="167" customFormat="1" ht="21.75" customHeight="1">
      <c r="A219" s="516"/>
      <c r="B219" s="145" t="s">
        <v>136</v>
      </c>
      <c r="C219" s="129" t="s">
        <v>428</v>
      </c>
      <c r="D219" s="6"/>
      <c r="E219" s="6"/>
      <c r="F219" s="6"/>
      <c r="G219" s="6"/>
      <c r="H219" s="6">
        <v>65981</v>
      </c>
      <c r="I219" s="6">
        <v>0</v>
      </c>
      <c r="J219" s="6">
        <v>0</v>
      </c>
      <c r="K219" s="130">
        <v>102892</v>
      </c>
      <c r="L219" s="130">
        <v>71205</v>
      </c>
      <c r="M219" s="356">
        <f t="shared" si="52"/>
        <v>0.6920363099171948</v>
      </c>
      <c r="N219" s="130">
        <f>L219</f>
        <v>71205</v>
      </c>
      <c r="O219" s="130">
        <v>0</v>
      </c>
      <c r="P219" s="354"/>
      <c r="Q219" s="354">
        <f>N219</f>
        <v>71205</v>
      </c>
      <c r="R219" s="356"/>
      <c r="S219" s="356"/>
      <c r="T219" s="492"/>
    </row>
    <row r="220" spans="1:20" s="167" customFormat="1" ht="18.75" customHeight="1">
      <c r="A220" s="513" t="s">
        <v>138</v>
      </c>
      <c r="B220" s="509"/>
      <c r="C220" s="327" t="s">
        <v>140</v>
      </c>
      <c r="D220" s="326" t="e">
        <f>D221+D222+D223+#REF!</f>
        <v>#REF!</v>
      </c>
      <c r="E220" s="326" t="e">
        <f>E221+E222+E223+E224+#REF!+E225+#REF!+#REF!+E230</f>
        <v>#REF!</v>
      </c>
      <c r="F220" s="326" t="e">
        <f>F221+F222+F223+F224+#REF!+F225+#REF!+#REF!+F230</f>
        <v>#REF!</v>
      </c>
      <c r="G220" s="326" t="e">
        <f>G221+G222+G223+G224+#REF!+G225+#REF!+#REF!+G230</f>
        <v>#REF!</v>
      </c>
      <c r="H220" s="326">
        <f>H221+H222+H223+H224+H225+H230+H233+H228</f>
        <v>416271</v>
      </c>
      <c r="I220" s="326">
        <f>I221+I222+I223+I224+I225+I230+I233+I228</f>
        <v>0</v>
      </c>
      <c r="J220" s="326">
        <f>J221+J222+J223+J224+J225+J230+J233+J228</f>
        <v>0</v>
      </c>
      <c r="K220" s="353">
        <f>SUM(K221:K233)</f>
        <v>919490</v>
      </c>
      <c r="L220" s="353">
        <f>SUM(L221:L233)</f>
        <v>677439</v>
      </c>
      <c r="M220" s="539">
        <f t="shared" si="52"/>
        <v>0.7367551577504922</v>
      </c>
      <c r="N220" s="353">
        <f aca="true" t="shared" si="56" ref="N220:T220">SUM(N221:N233)</f>
        <v>677439</v>
      </c>
      <c r="O220" s="353">
        <f t="shared" si="56"/>
        <v>339753</v>
      </c>
      <c r="P220" s="353">
        <f t="shared" si="56"/>
        <v>67577</v>
      </c>
      <c r="Q220" s="353">
        <f t="shared" si="56"/>
        <v>239724</v>
      </c>
      <c r="R220" s="353">
        <f t="shared" si="56"/>
        <v>0</v>
      </c>
      <c r="S220" s="353">
        <f t="shared" si="56"/>
        <v>0</v>
      </c>
      <c r="T220" s="491">
        <f t="shared" si="56"/>
        <v>0</v>
      </c>
    </row>
    <row r="221" spans="1:20" s="167" customFormat="1" ht="22.5" customHeight="1">
      <c r="A221" s="516"/>
      <c r="B221" s="145" t="s">
        <v>2</v>
      </c>
      <c r="C221" s="129" t="s">
        <v>3</v>
      </c>
      <c r="D221" s="6">
        <v>212518</v>
      </c>
      <c r="E221" s="6">
        <v>225071</v>
      </c>
      <c r="F221" s="6">
        <v>24814</v>
      </c>
      <c r="G221" s="6">
        <v>0</v>
      </c>
      <c r="H221" s="6">
        <v>279732</v>
      </c>
      <c r="I221" s="6">
        <v>0</v>
      </c>
      <c r="J221" s="6">
        <v>0</v>
      </c>
      <c r="K221" s="130">
        <v>288843</v>
      </c>
      <c r="L221" s="130">
        <v>311903</v>
      </c>
      <c r="M221" s="356">
        <f t="shared" si="52"/>
        <v>1.0798357585262581</v>
      </c>
      <c r="N221" s="130">
        <f>L221</f>
        <v>311903</v>
      </c>
      <c r="O221" s="130">
        <f>N221</f>
        <v>311903</v>
      </c>
      <c r="P221" s="354"/>
      <c r="Q221" s="355">
        <v>0</v>
      </c>
      <c r="R221" s="356"/>
      <c r="S221" s="356"/>
      <c r="T221" s="492"/>
    </row>
    <row r="222" spans="1:20" s="167" customFormat="1" ht="17.25" customHeight="1">
      <c r="A222" s="516"/>
      <c r="B222" s="145" t="s">
        <v>6</v>
      </c>
      <c r="C222" s="129" t="s">
        <v>7</v>
      </c>
      <c r="D222" s="6">
        <v>4145</v>
      </c>
      <c r="E222" s="6">
        <v>6923</v>
      </c>
      <c r="F222" s="6">
        <v>0</v>
      </c>
      <c r="G222" s="6">
        <v>0</v>
      </c>
      <c r="H222" s="14">
        <v>10410</v>
      </c>
      <c r="I222" s="14">
        <v>0</v>
      </c>
      <c r="J222" s="14">
        <v>0</v>
      </c>
      <c r="K222" s="130">
        <v>18074</v>
      </c>
      <c r="L222" s="130">
        <v>27850</v>
      </c>
      <c r="M222" s="356">
        <f t="shared" si="52"/>
        <v>1.5408874626535354</v>
      </c>
      <c r="N222" s="130">
        <f aca="true" t="shared" si="57" ref="N222:N233">L222</f>
        <v>27850</v>
      </c>
      <c r="O222" s="130">
        <f>N222</f>
        <v>27850</v>
      </c>
      <c r="P222" s="354"/>
      <c r="Q222" s="355">
        <v>0</v>
      </c>
      <c r="R222" s="356"/>
      <c r="S222" s="356"/>
      <c r="T222" s="492"/>
    </row>
    <row r="223" spans="1:20" s="167" customFormat="1" ht="15.75" customHeight="1">
      <c r="A223" s="516"/>
      <c r="B223" s="519" t="s">
        <v>56</v>
      </c>
      <c r="C223" s="129" t="s">
        <v>34</v>
      </c>
      <c r="D223" s="6">
        <v>44040</v>
      </c>
      <c r="E223" s="6">
        <v>40253</v>
      </c>
      <c r="F223" s="6">
        <v>4948</v>
      </c>
      <c r="G223" s="6">
        <v>0</v>
      </c>
      <c r="H223" s="6">
        <v>51300</v>
      </c>
      <c r="I223" s="6">
        <v>0</v>
      </c>
      <c r="J223" s="6">
        <v>0</v>
      </c>
      <c r="K223" s="130">
        <v>55214</v>
      </c>
      <c r="L223" s="130">
        <v>59253</v>
      </c>
      <c r="M223" s="356">
        <f t="shared" si="52"/>
        <v>1.0731517368783279</v>
      </c>
      <c r="N223" s="130">
        <f t="shared" si="57"/>
        <v>59253</v>
      </c>
      <c r="O223" s="130">
        <v>0</v>
      </c>
      <c r="P223" s="354">
        <f>N223</f>
        <v>59253</v>
      </c>
      <c r="Q223" s="355">
        <v>0</v>
      </c>
      <c r="R223" s="356"/>
      <c r="S223" s="356"/>
      <c r="T223" s="492"/>
    </row>
    <row r="224" spans="1:20" s="167" customFormat="1" ht="14.25" customHeight="1">
      <c r="A224" s="516"/>
      <c r="B224" s="519" t="s">
        <v>8</v>
      </c>
      <c r="C224" s="129" t="s">
        <v>9</v>
      </c>
      <c r="D224" s="6"/>
      <c r="E224" s="6">
        <v>5538</v>
      </c>
      <c r="F224" s="6">
        <v>680</v>
      </c>
      <c r="G224" s="6">
        <v>0</v>
      </c>
      <c r="H224" s="6">
        <v>7030</v>
      </c>
      <c r="I224" s="6">
        <v>0</v>
      </c>
      <c r="J224" s="6">
        <v>0</v>
      </c>
      <c r="K224" s="130">
        <v>7520</v>
      </c>
      <c r="L224" s="130">
        <v>8324</v>
      </c>
      <c r="M224" s="356">
        <f t="shared" si="52"/>
        <v>1.1069148936170212</v>
      </c>
      <c r="N224" s="130">
        <f t="shared" si="57"/>
        <v>8324</v>
      </c>
      <c r="O224" s="130">
        <v>0</v>
      </c>
      <c r="P224" s="354">
        <f>N224</f>
        <v>8324</v>
      </c>
      <c r="Q224" s="355">
        <v>0</v>
      </c>
      <c r="R224" s="356"/>
      <c r="S224" s="356"/>
      <c r="T224" s="492"/>
    </row>
    <row r="225" spans="1:20" s="167" customFormat="1" ht="14.25" customHeight="1">
      <c r="A225" s="516"/>
      <c r="B225" s="145" t="s">
        <v>10</v>
      </c>
      <c r="C225" s="130" t="s">
        <v>313</v>
      </c>
      <c r="D225" s="6"/>
      <c r="E225" s="6">
        <v>1700</v>
      </c>
      <c r="F225" s="6">
        <v>0</v>
      </c>
      <c r="G225" s="6">
        <v>0</v>
      </c>
      <c r="H225" s="6">
        <v>300</v>
      </c>
      <c r="I225" s="6">
        <v>0</v>
      </c>
      <c r="J225" s="6">
        <v>0</v>
      </c>
      <c r="K225" s="130">
        <v>57229</v>
      </c>
      <c r="L225" s="130">
        <v>5400</v>
      </c>
      <c r="M225" s="356">
        <f t="shared" si="52"/>
        <v>0.09435775568330741</v>
      </c>
      <c r="N225" s="130">
        <f t="shared" si="57"/>
        <v>5400</v>
      </c>
      <c r="O225" s="130">
        <v>0</v>
      </c>
      <c r="P225" s="354"/>
      <c r="Q225" s="355">
        <v>0</v>
      </c>
      <c r="R225" s="356"/>
      <c r="S225" s="356"/>
      <c r="T225" s="492"/>
    </row>
    <row r="226" spans="1:20" s="167" customFormat="1" ht="14.25" customHeight="1">
      <c r="A226" s="516"/>
      <c r="B226" s="145" t="s">
        <v>12</v>
      </c>
      <c r="C226" s="130" t="s">
        <v>97</v>
      </c>
      <c r="D226" s="6"/>
      <c r="E226" s="6"/>
      <c r="F226" s="6"/>
      <c r="G226" s="6"/>
      <c r="H226" s="6"/>
      <c r="I226" s="6"/>
      <c r="J226" s="6"/>
      <c r="K226" s="130">
        <v>2100</v>
      </c>
      <c r="L226" s="130">
        <v>2140</v>
      </c>
      <c r="M226" s="356">
        <f t="shared" si="52"/>
        <v>1.019047619047619</v>
      </c>
      <c r="N226" s="130">
        <f t="shared" si="57"/>
        <v>2140</v>
      </c>
      <c r="O226" s="130">
        <v>0</v>
      </c>
      <c r="P226" s="354"/>
      <c r="Q226" s="355">
        <v>0</v>
      </c>
      <c r="R226" s="356"/>
      <c r="S226" s="356"/>
      <c r="T226" s="492"/>
    </row>
    <row r="227" spans="1:20" s="167" customFormat="1" ht="14.25" customHeight="1">
      <c r="A227" s="516"/>
      <c r="B227" s="145" t="s">
        <v>76</v>
      </c>
      <c r="C227" s="129" t="s">
        <v>77</v>
      </c>
      <c r="D227" s="6"/>
      <c r="E227" s="6"/>
      <c r="F227" s="6"/>
      <c r="G227" s="6"/>
      <c r="H227" s="6"/>
      <c r="I227" s="6"/>
      <c r="J227" s="6"/>
      <c r="K227" s="130">
        <v>326</v>
      </c>
      <c r="L227" s="130">
        <v>1000</v>
      </c>
      <c r="M227" s="356">
        <f t="shared" si="52"/>
        <v>3.067484662576687</v>
      </c>
      <c r="N227" s="130">
        <f t="shared" si="57"/>
        <v>1000</v>
      </c>
      <c r="O227" s="130"/>
      <c r="P227" s="354"/>
      <c r="Q227" s="355"/>
      <c r="R227" s="356"/>
      <c r="S227" s="356"/>
      <c r="T227" s="492"/>
    </row>
    <row r="228" spans="1:20" s="167" customFormat="1" ht="15" customHeight="1">
      <c r="A228" s="516"/>
      <c r="B228" s="145" t="s">
        <v>16</v>
      </c>
      <c r="C228" s="130" t="s">
        <v>99</v>
      </c>
      <c r="D228" s="6"/>
      <c r="E228" s="6"/>
      <c r="F228" s="6"/>
      <c r="G228" s="6"/>
      <c r="H228" s="6">
        <v>1700</v>
      </c>
      <c r="I228" s="6">
        <v>0</v>
      </c>
      <c r="J228" s="6">
        <v>0</v>
      </c>
      <c r="K228" s="130">
        <v>2766</v>
      </c>
      <c r="L228" s="130">
        <v>2818</v>
      </c>
      <c r="M228" s="356">
        <f t="shared" si="52"/>
        <v>1.0187997107736804</v>
      </c>
      <c r="N228" s="130">
        <f t="shared" si="57"/>
        <v>2818</v>
      </c>
      <c r="O228" s="130">
        <v>0</v>
      </c>
      <c r="P228" s="354"/>
      <c r="Q228" s="355">
        <v>0</v>
      </c>
      <c r="R228" s="356"/>
      <c r="S228" s="356"/>
      <c r="T228" s="492"/>
    </row>
    <row r="229" spans="1:20" s="167" customFormat="1" ht="15" customHeight="1">
      <c r="A229" s="516"/>
      <c r="B229" s="145" t="s">
        <v>316</v>
      </c>
      <c r="C229" s="129" t="s">
        <v>320</v>
      </c>
      <c r="D229" s="6"/>
      <c r="E229" s="6"/>
      <c r="F229" s="6"/>
      <c r="G229" s="6"/>
      <c r="H229" s="6"/>
      <c r="I229" s="6"/>
      <c r="J229" s="6"/>
      <c r="K229" s="130">
        <v>583</v>
      </c>
      <c r="L229" s="130">
        <v>594</v>
      </c>
      <c r="M229" s="356">
        <f t="shared" si="52"/>
        <v>1.0188679245283019</v>
      </c>
      <c r="N229" s="130">
        <f t="shared" si="57"/>
        <v>594</v>
      </c>
      <c r="O229" s="130"/>
      <c r="P229" s="354"/>
      <c r="Q229" s="355"/>
      <c r="R229" s="356"/>
      <c r="S229" s="356"/>
      <c r="T229" s="492"/>
    </row>
    <row r="230" spans="1:20" s="167" customFormat="1" ht="18.75" customHeight="1">
      <c r="A230" s="516"/>
      <c r="B230" s="145" t="s">
        <v>22</v>
      </c>
      <c r="C230" s="130" t="s">
        <v>23</v>
      </c>
      <c r="D230" s="6"/>
      <c r="E230" s="6">
        <v>15689</v>
      </c>
      <c r="F230" s="6">
        <v>0</v>
      </c>
      <c r="G230" s="6">
        <v>0</v>
      </c>
      <c r="H230" s="14">
        <v>14740</v>
      </c>
      <c r="I230" s="14">
        <v>0</v>
      </c>
      <c r="J230" s="14">
        <v>0</v>
      </c>
      <c r="K230" s="130">
        <v>14862</v>
      </c>
      <c r="L230" s="130">
        <v>16433</v>
      </c>
      <c r="M230" s="356">
        <f t="shared" si="52"/>
        <v>1.1057058269411923</v>
      </c>
      <c r="N230" s="130">
        <f t="shared" si="57"/>
        <v>16433</v>
      </c>
      <c r="O230" s="130">
        <v>0</v>
      </c>
      <c r="P230" s="354"/>
      <c r="Q230" s="355">
        <v>0</v>
      </c>
      <c r="R230" s="356"/>
      <c r="S230" s="356"/>
      <c r="T230" s="492"/>
    </row>
    <row r="231" spans="1:20" s="167" customFormat="1" ht="18.75" customHeight="1">
      <c r="A231" s="516"/>
      <c r="B231" s="145" t="s">
        <v>318</v>
      </c>
      <c r="C231" s="129" t="s">
        <v>322</v>
      </c>
      <c r="D231" s="6"/>
      <c r="E231" s="6"/>
      <c r="F231" s="6"/>
      <c r="G231" s="6"/>
      <c r="H231" s="14"/>
      <c r="I231" s="14"/>
      <c r="J231" s="14"/>
      <c r="K231" s="130">
        <v>0</v>
      </c>
      <c r="L231" s="130">
        <v>2000</v>
      </c>
      <c r="M231" s="356">
        <v>0</v>
      </c>
      <c r="N231" s="130">
        <f t="shared" si="57"/>
        <v>2000</v>
      </c>
      <c r="O231" s="130"/>
      <c r="P231" s="354"/>
      <c r="Q231" s="355"/>
      <c r="R231" s="356"/>
      <c r="S231" s="356"/>
      <c r="T231" s="492"/>
    </row>
    <row r="232" spans="1:20" s="167" customFormat="1" ht="18.75" customHeight="1">
      <c r="A232" s="516"/>
      <c r="B232" s="145" t="s">
        <v>42</v>
      </c>
      <c r="C232" s="130" t="s">
        <v>857</v>
      </c>
      <c r="D232" s="6"/>
      <c r="E232" s="6"/>
      <c r="F232" s="6"/>
      <c r="G232" s="6"/>
      <c r="H232" s="14"/>
      <c r="I232" s="14"/>
      <c r="J232" s="14"/>
      <c r="K232" s="130">
        <v>236751</v>
      </c>
      <c r="L232" s="130">
        <v>0</v>
      </c>
      <c r="M232" s="356">
        <f t="shared" si="52"/>
        <v>0</v>
      </c>
      <c r="N232" s="130">
        <f t="shared" si="57"/>
        <v>0</v>
      </c>
      <c r="O232" s="130">
        <v>0</v>
      </c>
      <c r="P232" s="354">
        <f>L232</f>
        <v>0</v>
      </c>
      <c r="Q232" s="355">
        <v>0</v>
      </c>
      <c r="R232" s="356"/>
      <c r="S232" s="356"/>
      <c r="T232" s="494">
        <f>N232</f>
        <v>0</v>
      </c>
    </row>
    <row r="233" spans="1:20" s="167" customFormat="1" ht="31.5" customHeight="1">
      <c r="A233" s="516"/>
      <c r="B233" s="145" t="s">
        <v>136</v>
      </c>
      <c r="C233" s="129" t="s">
        <v>877</v>
      </c>
      <c r="D233" s="6"/>
      <c r="E233" s="6"/>
      <c r="F233" s="6"/>
      <c r="G233" s="6"/>
      <c r="H233" s="6">
        <v>51059</v>
      </c>
      <c r="I233" s="6">
        <v>0</v>
      </c>
      <c r="J233" s="6">
        <v>0</v>
      </c>
      <c r="K233" s="130">
        <v>235222</v>
      </c>
      <c r="L233" s="130">
        <v>239724</v>
      </c>
      <c r="M233" s="356">
        <f t="shared" si="52"/>
        <v>1.019139366215745</v>
      </c>
      <c r="N233" s="130">
        <f t="shared" si="57"/>
        <v>239724</v>
      </c>
      <c r="O233" s="130">
        <v>0</v>
      </c>
      <c r="P233" s="354"/>
      <c r="Q233" s="355">
        <f>N233</f>
        <v>239724</v>
      </c>
      <c r="R233" s="356"/>
      <c r="S233" s="356"/>
      <c r="T233" s="492"/>
    </row>
    <row r="234" spans="1:20" s="167" customFormat="1" ht="15" customHeight="1">
      <c r="A234" s="513" t="s">
        <v>142</v>
      </c>
      <c r="B234" s="514"/>
      <c r="C234" s="326" t="s">
        <v>143</v>
      </c>
      <c r="D234" s="326" t="e">
        <f>D236+D237+D238+#REF!+D241+#REF!</f>
        <v>#REF!</v>
      </c>
      <c r="E234" s="326" t="e">
        <f>E236+E237+E238+E239+#REF!+E240+E241+#REF!+E244+E245+E247+E250+E251+E252+E257+#REF!</f>
        <v>#REF!</v>
      </c>
      <c r="F234" s="326" t="e">
        <f>F236+F237+F238+F239+#REF!+F240+F241+#REF!+F244+F245+F247+F250+F251+F252+F257+#REF!</f>
        <v>#REF!</v>
      </c>
      <c r="G234" s="326" t="e">
        <f>G236+G237+G238+G239+#REF!+G240+G241+#REF!+G244+G245+G247+G250+G251+G252+G257+#REF!</f>
        <v>#REF!</v>
      </c>
      <c r="H234" s="326" t="e">
        <f>H236+H237+H238+H239+H235+H240+H241+H243+#REF!+H244+H245+H247+H250+H251+H252+H257+H253</f>
        <v>#REF!</v>
      </c>
      <c r="I234" s="326" t="e">
        <f>I236+I237+I238+I239+I235+I240+I241+I243+#REF!+I244+I245+I247+I250+I251+I252+I257+I253</f>
        <v>#REF!</v>
      </c>
      <c r="J234" s="326" t="e">
        <f>J236+J237+J238+J239+J235+J240+J241+J243+#REF!+J244+J245+J247+J250+J251+J252+J257+J253</f>
        <v>#REF!</v>
      </c>
      <c r="K234" s="353">
        <f>SUM(K235:K257)</f>
        <v>2170368</v>
      </c>
      <c r="L234" s="353">
        <f>SUM(L235:L257)</f>
        <v>2146286</v>
      </c>
      <c r="M234" s="539">
        <f t="shared" si="52"/>
        <v>0.9889041858339231</v>
      </c>
      <c r="N234" s="353">
        <f aca="true" t="shared" si="58" ref="N234:T234">SUM(N235:N257)</f>
        <v>2146286</v>
      </c>
      <c r="O234" s="353">
        <f t="shared" si="58"/>
        <v>1322037</v>
      </c>
      <c r="P234" s="353">
        <f t="shared" si="58"/>
        <v>239744</v>
      </c>
      <c r="Q234" s="353">
        <f t="shared" si="58"/>
        <v>269029</v>
      </c>
      <c r="R234" s="353">
        <f t="shared" si="58"/>
        <v>0</v>
      </c>
      <c r="S234" s="353">
        <f t="shared" si="58"/>
        <v>0</v>
      </c>
      <c r="T234" s="491">
        <f t="shared" si="58"/>
        <v>0</v>
      </c>
    </row>
    <row r="235" spans="1:20" s="348" customFormat="1" ht="17.25" customHeight="1">
      <c r="A235" s="510"/>
      <c r="B235" s="145" t="s">
        <v>910</v>
      </c>
      <c r="C235" s="330" t="s">
        <v>144</v>
      </c>
      <c r="D235" s="165"/>
      <c r="E235" s="165"/>
      <c r="F235" s="165"/>
      <c r="G235" s="165"/>
      <c r="H235" s="165">
        <v>14208</v>
      </c>
      <c r="I235" s="165">
        <v>0</v>
      </c>
      <c r="J235" s="165">
        <v>0</v>
      </c>
      <c r="K235" s="330">
        <v>9850</v>
      </c>
      <c r="L235" s="330">
        <v>9500</v>
      </c>
      <c r="M235" s="356">
        <f t="shared" si="52"/>
        <v>0.9644670050761421</v>
      </c>
      <c r="N235" s="330">
        <f>L235</f>
        <v>9500</v>
      </c>
      <c r="O235" s="330">
        <v>0</v>
      </c>
      <c r="P235" s="354"/>
      <c r="Q235" s="355">
        <v>0</v>
      </c>
      <c r="R235" s="356"/>
      <c r="S235" s="356"/>
      <c r="T235" s="492"/>
    </row>
    <row r="236" spans="1:20" s="167" customFormat="1" ht="21.75" customHeight="1">
      <c r="A236" s="510"/>
      <c r="B236" s="145" t="s">
        <v>2</v>
      </c>
      <c r="C236" s="129" t="s">
        <v>3</v>
      </c>
      <c r="D236" s="6">
        <v>1980166</v>
      </c>
      <c r="E236" s="6">
        <v>1975260</v>
      </c>
      <c r="F236" s="6">
        <v>27891</v>
      </c>
      <c r="G236" s="6">
        <v>26283</v>
      </c>
      <c r="H236" s="6">
        <v>1137604</v>
      </c>
      <c r="I236" s="6">
        <v>0</v>
      </c>
      <c r="J236" s="6">
        <v>0</v>
      </c>
      <c r="K236" s="130">
        <v>1187557</v>
      </c>
      <c r="L236" s="130">
        <v>1224837</v>
      </c>
      <c r="M236" s="356">
        <f t="shared" si="52"/>
        <v>1.0313921773860117</v>
      </c>
      <c r="N236" s="330">
        <f aca="true" t="shared" si="59" ref="N236:N262">L236</f>
        <v>1224837</v>
      </c>
      <c r="O236" s="130">
        <f>N236</f>
        <v>1224837</v>
      </c>
      <c r="P236" s="354"/>
      <c r="Q236" s="355">
        <v>0</v>
      </c>
      <c r="R236" s="356"/>
      <c r="S236" s="356"/>
      <c r="T236" s="492"/>
    </row>
    <row r="237" spans="1:20" s="167" customFormat="1" ht="14.25" customHeight="1">
      <c r="A237" s="510"/>
      <c r="B237" s="145" t="s">
        <v>6</v>
      </c>
      <c r="C237" s="129" t="s">
        <v>7</v>
      </c>
      <c r="D237" s="6">
        <v>123848</v>
      </c>
      <c r="E237" s="6">
        <v>159042</v>
      </c>
      <c r="F237" s="6">
        <v>0</v>
      </c>
      <c r="G237" s="6">
        <v>0</v>
      </c>
      <c r="H237" s="6">
        <v>76054</v>
      </c>
      <c r="I237" s="6">
        <v>0</v>
      </c>
      <c r="J237" s="6">
        <v>0</v>
      </c>
      <c r="K237" s="130">
        <v>94071</v>
      </c>
      <c r="L237" s="130">
        <v>95700</v>
      </c>
      <c r="M237" s="356">
        <f t="shared" si="52"/>
        <v>1.0173167075932008</v>
      </c>
      <c r="N237" s="330">
        <f t="shared" si="59"/>
        <v>95700</v>
      </c>
      <c r="O237" s="130">
        <f>N237</f>
        <v>95700</v>
      </c>
      <c r="P237" s="354"/>
      <c r="Q237" s="355">
        <v>0</v>
      </c>
      <c r="R237" s="356"/>
      <c r="S237" s="356"/>
      <c r="T237" s="492"/>
    </row>
    <row r="238" spans="1:20" s="167" customFormat="1" ht="15" customHeight="1">
      <c r="A238" s="510"/>
      <c r="B238" s="519" t="s">
        <v>56</v>
      </c>
      <c r="C238" s="129" t="s">
        <v>70</v>
      </c>
      <c r="D238" s="6">
        <v>414136</v>
      </c>
      <c r="E238" s="6">
        <v>370552</v>
      </c>
      <c r="F238" s="6">
        <v>2840</v>
      </c>
      <c r="G238" s="6">
        <v>2000</v>
      </c>
      <c r="H238" s="6">
        <v>214800</v>
      </c>
      <c r="I238" s="6">
        <v>0</v>
      </c>
      <c r="J238" s="6">
        <v>0</v>
      </c>
      <c r="K238" s="130">
        <v>223194</v>
      </c>
      <c r="L238" s="130">
        <v>210434</v>
      </c>
      <c r="M238" s="356">
        <f t="shared" si="52"/>
        <v>0.942830004390799</v>
      </c>
      <c r="N238" s="330">
        <f t="shared" si="59"/>
        <v>210434</v>
      </c>
      <c r="O238" s="130">
        <v>0</v>
      </c>
      <c r="P238" s="354">
        <f>N238</f>
        <v>210434</v>
      </c>
      <c r="Q238" s="355">
        <v>0</v>
      </c>
      <c r="R238" s="356"/>
      <c r="S238" s="356"/>
      <c r="T238" s="492"/>
    </row>
    <row r="239" spans="1:20" s="167" customFormat="1" ht="16.5" customHeight="1">
      <c r="A239" s="510"/>
      <c r="B239" s="519" t="s">
        <v>8</v>
      </c>
      <c r="C239" s="129" t="s">
        <v>9</v>
      </c>
      <c r="D239" s="6"/>
      <c r="E239" s="6">
        <v>50795</v>
      </c>
      <c r="F239" s="6">
        <v>390</v>
      </c>
      <c r="G239" s="6">
        <v>165</v>
      </c>
      <c r="H239" s="6">
        <v>29560</v>
      </c>
      <c r="I239" s="6">
        <v>0</v>
      </c>
      <c r="J239" s="6">
        <v>0</v>
      </c>
      <c r="K239" s="130">
        <v>31239</v>
      </c>
      <c r="L239" s="130">
        <v>29310</v>
      </c>
      <c r="M239" s="356">
        <f t="shared" si="52"/>
        <v>0.9382502640929608</v>
      </c>
      <c r="N239" s="330">
        <f t="shared" si="59"/>
        <v>29310</v>
      </c>
      <c r="O239" s="130">
        <v>0</v>
      </c>
      <c r="P239" s="354">
        <f>N239</f>
        <v>29310</v>
      </c>
      <c r="Q239" s="355">
        <v>0</v>
      </c>
      <c r="R239" s="356"/>
      <c r="S239" s="356"/>
      <c r="T239" s="492"/>
    </row>
    <row r="240" spans="1:20" s="167" customFormat="1" ht="15.75" customHeight="1">
      <c r="A240" s="510"/>
      <c r="B240" s="145" t="s">
        <v>145</v>
      </c>
      <c r="C240" s="130" t="s">
        <v>314</v>
      </c>
      <c r="D240" s="6"/>
      <c r="E240" s="6">
        <v>8110</v>
      </c>
      <c r="F240" s="6">
        <v>0</v>
      </c>
      <c r="G240" s="6">
        <v>0</v>
      </c>
      <c r="H240" s="6">
        <v>300</v>
      </c>
      <c r="I240" s="6">
        <v>0</v>
      </c>
      <c r="J240" s="6">
        <v>0</v>
      </c>
      <c r="K240" s="130">
        <v>4700</v>
      </c>
      <c r="L240" s="130">
        <v>7000</v>
      </c>
      <c r="M240" s="356">
        <f t="shared" si="52"/>
        <v>1.4893617021276595</v>
      </c>
      <c r="N240" s="330">
        <f t="shared" si="59"/>
        <v>7000</v>
      </c>
      <c r="O240" s="130">
        <v>0</v>
      </c>
      <c r="P240" s="354"/>
      <c r="Q240" s="355">
        <v>0</v>
      </c>
      <c r="R240" s="356"/>
      <c r="S240" s="356"/>
      <c r="T240" s="492"/>
    </row>
    <row r="241" spans="1:20" s="167" customFormat="1" ht="15" customHeight="1">
      <c r="A241" s="510"/>
      <c r="B241" s="144">
        <v>4210</v>
      </c>
      <c r="C241" s="130" t="s">
        <v>11</v>
      </c>
      <c r="D241" s="6" t="e">
        <f>#REF!+#REF!</f>
        <v>#REF!</v>
      </c>
      <c r="E241" s="14">
        <v>110063</v>
      </c>
      <c r="F241" s="14">
        <v>262</v>
      </c>
      <c r="G241" s="14">
        <v>0</v>
      </c>
      <c r="H241" s="6">
        <v>94500</v>
      </c>
      <c r="I241" s="6">
        <v>0</v>
      </c>
      <c r="J241" s="6">
        <v>0</v>
      </c>
      <c r="K241" s="130">
        <v>117150</v>
      </c>
      <c r="L241" s="130">
        <v>119376</v>
      </c>
      <c r="M241" s="356">
        <f t="shared" si="52"/>
        <v>1.019001280409731</v>
      </c>
      <c r="N241" s="330">
        <f t="shared" si="59"/>
        <v>119376</v>
      </c>
      <c r="O241" s="130">
        <v>0</v>
      </c>
      <c r="P241" s="354"/>
      <c r="Q241" s="355">
        <v>0</v>
      </c>
      <c r="R241" s="356"/>
      <c r="S241" s="356"/>
      <c r="T241" s="492"/>
    </row>
    <row r="242" spans="1:20" s="167" customFormat="1" ht="15" customHeight="1">
      <c r="A242" s="510"/>
      <c r="B242" s="144">
        <v>4170</v>
      </c>
      <c r="C242" s="130" t="s">
        <v>736</v>
      </c>
      <c r="D242" s="6"/>
      <c r="E242" s="14"/>
      <c r="F242" s="14"/>
      <c r="G242" s="14"/>
      <c r="H242" s="6"/>
      <c r="I242" s="6"/>
      <c r="J242" s="6"/>
      <c r="K242" s="130">
        <v>1000</v>
      </c>
      <c r="L242" s="130">
        <v>1500</v>
      </c>
      <c r="M242" s="356">
        <f t="shared" si="52"/>
        <v>1.5</v>
      </c>
      <c r="N242" s="330">
        <f t="shared" si="59"/>
        <v>1500</v>
      </c>
      <c r="O242" s="130">
        <f>N242</f>
        <v>1500</v>
      </c>
      <c r="P242" s="354"/>
      <c r="Q242" s="355"/>
      <c r="R242" s="356"/>
      <c r="S242" s="356"/>
      <c r="T242" s="492"/>
    </row>
    <row r="243" spans="1:20" s="167" customFormat="1" ht="15" customHeight="1">
      <c r="A243" s="510"/>
      <c r="B243" s="144">
        <v>4240</v>
      </c>
      <c r="C243" s="130" t="s">
        <v>315</v>
      </c>
      <c r="D243" s="6"/>
      <c r="E243" s="14"/>
      <c r="F243" s="14"/>
      <c r="G243" s="14"/>
      <c r="H243" s="6">
        <v>3000</v>
      </c>
      <c r="I243" s="6">
        <v>0</v>
      </c>
      <c r="J243" s="6">
        <v>0</v>
      </c>
      <c r="K243" s="130">
        <v>4850</v>
      </c>
      <c r="L243" s="130">
        <v>4942</v>
      </c>
      <c r="M243" s="356">
        <f t="shared" si="52"/>
        <v>1.0189690721649485</v>
      </c>
      <c r="N243" s="330">
        <f t="shared" si="59"/>
        <v>4942</v>
      </c>
      <c r="O243" s="130">
        <v>0</v>
      </c>
      <c r="P243" s="354"/>
      <c r="Q243" s="355">
        <v>0</v>
      </c>
      <c r="R243" s="356"/>
      <c r="S243" s="356"/>
      <c r="T243" s="492"/>
    </row>
    <row r="244" spans="1:20" s="167" customFormat="1" ht="15.75" customHeight="1">
      <c r="A244" s="510"/>
      <c r="B244" s="145" t="s">
        <v>12</v>
      </c>
      <c r="C244" s="130" t="s">
        <v>97</v>
      </c>
      <c r="D244" s="6"/>
      <c r="E244" s="6">
        <v>137000</v>
      </c>
      <c r="F244" s="6">
        <v>8000</v>
      </c>
      <c r="G244" s="6">
        <v>0</v>
      </c>
      <c r="H244" s="6">
        <v>38000</v>
      </c>
      <c r="I244" s="6">
        <v>0</v>
      </c>
      <c r="J244" s="6">
        <v>0</v>
      </c>
      <c r="K244" s="130">
        <v>31800</v>
      </c>
      <c r="L244" s="130">
        <v>32404</v>
      </c>
      <c r="M244" s="356">
        <f t="shared" si="52"/>
        <v>1.0189937106918239</v>
      </c>
      <c r="N244" s="330">
        <f t="shared" si="59"/>
        <v>32404</v>
      </c>
      <c r="O244" s="130">
        <v>0</v>
      </c>
      <c r="P244" s="354"/>
      <c r="Q244" s="355">
        <v>0</v>
      </c>
      <c r="R244" s="356"/>
      <c r="S244" s="356"/>
      <c r="T244" s="492"/>
    </row>
    <row r="245" spans="1:20" s="167" customFormat="1" ht="18" customHeight="1">
      <c r="A245" s="510"/>
      <c r="B245" s="145" t="s">
        <v>14</v>
      </c>
      <c r="C245" s="130" t="s">
        <v>98</v>
      </c>
      <c r="D245" s="6"/>
      <c r="E245" s="6">
        <v>24000</v>
      </c>
      <c r="F245" s="6">
        <v>7055</v>
      </c>
      <c r="G245" s="6">
        <v>894</v>
      </c>
      <c r="H245" s="14">
        <v>186783</v>
      </c>
      <c r="I245" s="6">
        <v>0</v>
      </c>
      <c r="J245" s="6">
        <v>0</v>
      </c>
      <c r="K245" s="130">
        <v>75000</v>
      </c>
      <c r="L245" s="130">
        <v>0</v>
      </c>
      <c r="M245" s="356">
        <f t="shared" si="52"/>
        <v>0</v>
      </c>
      <c r="N245" s="330">
        <f t="shared" si="59"/>
        <v>0</v>
      </c>
      <c r="O245" s="130">
        <v>0</v>
      </c>
      <c r="P245" s="354"/>
      <c r="Q245" s="355">
        <v>0</v>
      </c>
      <c r="R245" s="356"/>
      <c r="S245" s="356"/>
      <c r="T245" s="492"/>
    </row>
    <row r="246" spans="1:20" s="167" customFormat="1" ht="18" customHeight="1">
      <c r="A246" s="510"/>
      <c r="B246" s="145" t="s">
        <v>76</v>
      </c>
      <c r="C246" s="130" t="s">
        <v>77</v>
      </c>
      <c r="D246" s="6"/>
      <c r="E246" s="6"/>
      <c r="F246" s="6"/>
      <c r="G246" s="6"/>
      <c r="H246" s="14"/>
      <c r="I246" s="6"/>
      <c r="J246" s="6"/>
      <c r="K246" s="130">
        <v>1300</v>
      </c>
      <c r="L246" s="130">
        <v>3800</v>
      </c>
      <c r="M246" s="356">
        <f t="shared" si="52"/>
        <v>2.923076923076923</v>
      </c>
      <c r="N246" s="330">
        <f t="shared" si="59"/>
        <v>3800</v>
      </c>
      <c r="O246" s="130"/>
      <c r="P246" s="354"/>
      <c r="Q246" s="355"/>
      <c r="R246" s="356"/>
      <c r="S246" s="356"/>
      <c r="T246" s="492"/>
    </row>
    <row r="247" spans="1:20" s="167" customFormat="1" ht="16.5" customHeight="1">
      <c r="A247" s="510"/>
      <c r="B247" s="145" t="s">
        <v>16</v>
      </c>
      <c r="C247" s="130" t="s">
        <v>99</v>
      </c>
      <c r="D247" s="6"/>
      <c r="E247" s="6">
        <v>58100</v>
      </c>
      <c r="F247" s="6">
        <v>0</v>
      </c>
      <c r="G247" s="6">
        <v>4500</v>
      </c>
      <c r="H247" s="6">
        <v>30000</v>
      </c>
      <c r="I247" s="6">
        <v>0</v>
      </c>
      <c r="J247" s="6">
        <v>0</v>
      </c>
      <c r="K247" s="130">
        <v>30162</v>
      </c>
      <c r="L247" s="130">
        <v>30600</v>
      </c>
      <c r="M247" s="356">
        <f t="shared" si="52"/>
        <v>1.0145215834493735</v>
      </c>
      <c r="N247" s="330">
        <f t="shared" si="59"/>
        <v>30600</v>
      </c>
      <c r="O247" s="130">
        <v>0</v>
      </c>
      <c r="P247" s="354"/>
      <c r="Q247" s="355">
        <v>0</v>
      </c>
      <c r="R247" s="356"/>
      <c r="S247" s="356"/>
      <c r="T247" s="492"/>
    </row>
    <row r="248" spans="1:20" s="167" customFormat="1" ht="16.5" customHeight="1">
      <c r="A248" s="510"/>
      <c r="B248" s="145" t="s">
        <v>737</v>
      </c>
      <c r="C248" s="130" t="s">
        <v>738</v>
      </c>
      <c r="D248" s="6"/>
      <c r="E248" s="6"/>
      <c r="F248" s="6"/>
      <c r="G248" s="6"/>
      <c r="H248" s="6"/>
      <c r="I248" s="6"/>
      <c r="J248" s="6"/>
      <c r="K248" s="130">
        <v>3800</v>
      </c>
      <c r="L248" s="130">
        <v>5000</v>
      </c>
      <c r="M248" s="356">
        <f t="shared" si="52"/>
        <v>1.3157894736842106</v>
      </c>
      <c r="N248" s="330">
        <f t="shared" si="59"/>
        <v>5000</v>
      </c>
      <c r="O248" s="130"/>
      <c r="P248" s="354"/>
      <c r="Q248" s="355"/>
      <c r="R248" s="356"/>
      <c r="S248" s="356"/>
      <c r="T248" s="492"/>
    </row>
    <row r="249" spans="1:20" s="167" customFormat="1" ht="16.5" customHeight="1">
      <c r="A249" s="510"/>
      <c r="B249" s="145" t="s">
        <v>316</v>
      </c>
      <c r="C249" s="129" t="s">
        <v>320</v>
      </c>
      <c r="D249" s="6"/>
      <c r="E249" s="6"/>
      <c r="F249" s="6"/>
      <c r="G249" s="6"/>
      <c r="H249" s="6"/>
      <c r="I249" s="6"/>
      <c r="J249" s="6"/>
      <c r="K249" s="130">
        <v>6500</v>
      </c>
      <c r="L249" s="130">
        <v>6624</v>
      </c>
      <c r="M249" s="356">
        <f t="shared" si="52"/>
        <v>1.019076923076923</v>
      </c>
      <c r="N249" s="330">
        <f t="shared" si="59"/>
        <v>6624</v>
      </c>
      <c r="O249" s="130"/>
      <c r="P249" s="354"/>
      <c r="Q249" s="355"/>
      <c r="R249" s="356"/>
      <c r="S249" s="356"/>
      <c r="T249" s="492"/>
    </row>
    <row r="250" spans="1:20" s="167" customFormat="1" ht="17.25" customHeight="1">
      <c r="A250" s="510"/>
      <c r="B250" s="145" t="s">
        <v>18</v>
      </c>
      <c r="C250" s="130" t="s">
        <v>19</v>
      </c>
      <c r="D250" s="6"/>
      <c r="E250" s="6">
        <v>7500</v>
      </c>
      <c r="F250" s="6">
        <v>1200</v>
      </c>
      <c r="G250" s="6">
        <v>0</v>
      </c>
      <c r="H250" s="6">
        <v>3500</v>
      </c>
      <c r="I250" s="6">
        <v>0</v>
      </c>
      <c r="J250" s="6">
        <v>0</v>
      </c>
      <c r="K250" s="130">
        <v>3900</v>
      </c>
      <c r="L250" s="130">
        <v>3974</v>
      </c>
      <c r="M250" s="356">
        <f t="shared" si="52"/>
        <v>1.018974358974359</v>
      </c>
      <c r="N250" s="330">
        <f t="shared" si="59"/>
        <v>3974</v>
      </c>
      <c r="O250" s="130">
        <v>0</v>
      </c>
      <c r="P250" s="354"/>
      <c r="Q250" s="355">
        <v>0</v>
      </c>
      <c r="R250" s="356"/>
      <c r="S250" s="356"/>
      <c r="T250" s="492"/>
    </row>
    <row r="251" spans="1:20" s="167" customFormat="1" ht="14.25" customHeight="1">
      <c r="A251" s="510"/>
      <c r="B251" s="145" t="s">
        <v>20</v>
      </c>
      <c r="C251" s="130" t="s">
        <v>21</v>
      </c>
      <c r="D251" s="6"/>
      <c r="E251" s="6">
        <v>873</v>
      </c>
      <c r="F251" s="6">
        <v>1000</v>
      </c>
      <c r="G251" s="6">
        <v>0</v>
      </c>
      <c r="H251" s="6">
        <v>2600</v>
      </c>
      <c r="I251" s="6">
        <v>0</v>
      </c>
      <c r="J251" s="6">
        <v>0</v>
      </c>
      <c r="K251" s="130">
        <v>0</v>
      </c>
      <c r="L251" s="130">
        <v>0</v>
      </c>
      <c r="M251" s="356">
        <v>0</v>
      </c>
      <c r="N251" s="330">
        <f t="shared" si="59"/>
        <v>0</v>
      </c>
      <c r="O251" s="130">
        <v>0</v>
      </c>
      <c r="P251" s="354"/>
      <c r="Q251" s="355">
        <v>0</v>
      </c>
      <c r="R251" s="356"/>
      <c r="S251" s="356"/>
      <c r="T251" s="492"/>
    </row>
    <row r="252" spans="1:20" s="167" customFormat="1" ht="18.75" customHeight="1">
      <c r="A252" s="510"/>
      <c r="B252" s="145" t="s">
        <v>22</v>
      </c>
      <c r="C252" s="130" t="s">
        <v>23</v>
      </c>
      <c r="D252" s="6"/>
      <c r="E252" s="6">
        <v>126309</v>
      </c>
      <c r="F252" s="6">
        <v>0</v>
      </c>
      <c r="G252" s="6">
        <v>700</v>
      </c>
      <c r="H252" s="6">
        <v>60789</v>
      </c>
      <c r="I252" s="6">
        <v>0</v>
      </c>
      <c r="J252" s="6">
        <v>0</v>
      </c>
      <c r="K252" s="130">
        <v>70190</v>
      </c>
      <c r="L252" s="130">
        <v>77210</v>
      </c>
      <c r="M252" s="356">
        <f t="shared" si="52"/>
        <v>1.1000142470437384</v>
      </c>
      <c r="N252" s="330">
        <f t="shared" si="59"/>
        <v>77210</v>
      </c>
      <c r="O252" s="130">
        <v>0</v>
      </c>
      <c r="P252" s="354"/>
      <c r="Q252" s="355">
        <v>0</v>
      </c>
      <c r="R252" s="356"/>
      <c r="S252" s="356"/>
      <c r="T252" s="492"/>
    </row>
    <row r="253" spans="1:20" s="167" customFormat="1" ht="18.75" customHeight="1">
      <c r="A253" s="510"/>
      <c r="B253" s="145" t="s">
        <v>38</v>
      </c>
      <c r="C253" s="130" t="s">
        <v>39</v>
      </c>
      <c r="D253" s="6"/>
      <c r="E253" s="6"/>
      <c r="F253" s="6"/>
      <c r="G253" s="6"/>
      <c r="H253" s="6">
        <v>1021</v>
      </c>
      <c r="I253" s="6">
        <v>0</v>
      </c>
      <c r="J253" s="6">
        <v>0</v>
      </c>
      <c r="K253" s="130">
        <v>1212</v>
      </c>
      <c r="L253" s="130">
        <v>1300</v>
      </c>
      <c r="M253" s="356">
        <f t="shared" si="52"/>
        <v>1.0726072607260726</v>
      </c>
      <c r="N253" s="330">
        <f t="shared" si="59"/>
        <v>1300</v>
      </c>
      <c r="O253" s="130">
        <v>0</v>
      </c>
      <c r="P253" s="354"/>
      <c r="Q253" s="355">
        <v>0</v>
      </c>
      <c r="R253" s="356"/>
      <c r="S253" s="356"/>
      <c r="T253" s="492"/>
    </row>
    <row r="254" spans="1:20" s="167" customFormat="1" ht="23.25" customHeight="1">
      <c r="A254" s="510"/>
      <c r="B254" s="145" t="s">
        <v>317</v>
      </c>
      <c r="C254" s="129" t="s">
        <v>321</v>
      </c>
      <c r="D254" s="6"/>
      <c r="E254" s="6"/>
      <c r="F254" s="6"/>
      <c r="G254" s="6"/>
      <c r="H254" s="6"/>
      <c r="I254" s="6"/>
      <c r="J254" s="6"/>
      <c r="K254" s="130">
        <v>7640</v>
      </c>
      <c r="L254" s="130">
        <v>7785</v>
      </c>
      <c r="M254" s="356">
        <f t="shared" si="52"/>
        <v>1.018979057591623</v>
      </c>
      <c r="N254" s="330">
        <f t="shared" si="59"/>
        <v>7785</v>
      </c>
      <c r="O254" s="130"/>
      <c r="P254" s="354"/>
      <c r="Q254" s="355"/>
      <c r="R254" s="356"/>
      <c r="S254" s="356"/>
      <c r="T254" s="492"/>
    </row>
    <row r="255" spans="1:20" s="167" customFormat="1" ht="18.75" customHeight="1">
      <c r="A255" s="510"/>
      <c r="B255" s="145" t="s">
        <v>318</v>
      </c>
      <c r="C255" s="129" t="s">
        <v>322</v>
      </c>
      <c r="D255" s="6"/>
      <c r="E255" s="6"/>
      <c r="F255" s="6"/>
      <c r="G255" s="6"/>
      <c r="H255" s="6"/>
      <c r="I255" s="6"/>
      <c r="J255" s="6"/>
      <c r="K255" s="130">
        <v>1650</v>
      </c>
      <c r="L255" s="130">
        <v>1681</v>
      </c>
      <c r="M255" s="356">
        <f t="shared" si="52"/>
        <v>1.0187878787878788</v>
      </c>
      <c r="N255" s="330">
        <f t="shared" si="59"/>
        <v>1681</v>
      </c>
      <c r="O255" s="130"/>
      <c r="P255" s="354"/>
      <c r="Q255" s="355"/>
      <c r="R255" s="356"/>
      <c r="S255" s="356"/>
      <c r="T255" s="492"/>
    </row>
    <row r="256" spans="1:20" s="167" customFormat="1" ht="18.75" customHeight="1">
      <c r="A256" s="510"/>
      <c r="B256" s="145" t="s">
        <v>319</v>
      </c>
      <c r="C256" s="129" t="s">
        <v>323</v>
      </c>
      <c r="D256" s="6"/>
      <c r="E256" s="6"/>
      <c r="F256" s="6"/>
      <c r="G256" s="6"/>
      <c r="H256" s="6"/>
      <c r="I256" s="6"/>
      <c r="J256" s="6"/>
      <c r="K256" s="130">
        <v>4200</v>
      </c>
      <c r="L256" s="130">
        <v>4280</v>
      </c>
      <c r="M256" s="356">
        <f t="shared" si="52"/>
        <v>1.019047619047619</v>
      </c>
      <c r="N256" s="330">
        <f t="shared" si="59"/>
        <v>4280</v>
      </c>
      <c r="O256" s="130"/>
      <c r="P256" s="354"/>
      <c r="Q256" s="355"/>
      <c r="R256" s="356"/>
      <c r="S256" s="356"/>
      <c r="T256" s="492"/>
    </row>
    <row r="257" spans="1:20" s="167" customFormat="1" ht="21.75" customHeight="1">
      <c r="A257" s="510"/>
      <c r="B257" s="145" t="s">
        <v>136</v>
      </c>
      <c r="C257" s="129" t="s">
        <v>147</v>
      </c>
      <c r="D257" s="6"/>
      <c r="E257" s="6">
        <f>E258+E259</f>
        <v>302972</v>
      </c>
      <c r="F257" s="6">
        <f>F258+F259</f>
        <v>0</v>
      </c>
      <c r="G257" s="6">
        <f>G258+G259</f>
        <v>93147</v>
      </c>
      <c r="H257" s="6">
        <f>H258+H259+H262</f>
        <v>273254</v>
      </c>
      <c r="I257" s="6">
        <v>0</v>
      </c>
      <c r="J257" s="6">
        <v>0</v>
      </c>
      <c r="K257" s="130">
        <f>K258+K260+K261+K262</f>
        <v>259403</v>
      </c>
      <c r="L257" s="130">
        <f>L258+L260+L261+L262</f>
        <v>269029</v>
      </c>
      <c r="M257" s="356">
        <f t="shared" si="52"/>
        <v>1.0371082832503864</v>
      </c>
      <c r="N257" s="330">
        <f t="shared" si="59"/>
        <v>269029</v>
      </c>
      <c r="O257" s="130">
        <f>O258+O260+O261+O262</f>
        <v>0</v>
      </c>
      <c r="P257" s="354"/>
      <c r="Q257" s="358">
        <f aca="true" t="shared" si="60" ref="Q257:Q262">N257</f>
        <v>269029</v>
      </c>
      <c r="R257" s="356"/>
      <c r="S257" s="356"/>
      <c r="T257" s="492"/>
    </row>
    <row r="258" spans="1:20" s="167" customFormat="1" ht="13.5" customHeight="1">
      <c r="A258" s="510"/>
      <c r="B258" s="145"/>
      <c r="C258" s="130" t="s">
        <v>148</v>
      </c>
      <c r="D258" s="6"/>
      <c r="E258" s="6">
        <v>246759</v>
      </c>
      <c r="F258" s="6">
        <v>0</v>
      </c>
      <c r="G258" s="6">
        <v>72750</v>
      </c>
      <c r="H258" s="6">
        <v>62124</v>
      </c>
      <c r="I258" s="6">
        <v>0</v>
      </c>
      <c r="J258" s="6">
        <v>0</v>
      </c>
      <c r="K258" s="130">
        <v>60742</v>
      </c>
      <c r="L258" s="130">
        <v>36759</v>
      </c>
      <c r="M258" s="356">
        <f t="shared" si="52"/>
        <v>0.6051661124098646</v>
      </c>
      <c r="N258" s="330">
        <f t="shared" si="59"/>
        <v>36759</v>
      </c>
      <c r="O258" s="130">
        <v>0</v>
      </c>
      <c r="P258" s="354"/>
      <c r="Q258" s="358">
        <f t="shared" si="60"/>
        <v>36759</v>
      </c>
      <c r="R258" s="356"/>
      <c r="S258" s="356"/>
      <c r="T258" s="492"/>
    </row>
    <row r="259" spans="1:20" s="167" customFormat="1" ht="13.5" customHeight="1" hidden="1">
      <c r="A259" s="510"/>
      <c r="B259" s="130"/>
      <c r="C259" s="130" t="s">
        <v>149</v>
      </c>
      <c r="D259" s="6"/>
      <c r="E259" s="6">
        <v>56213</v>
      </c>
      <c r="F259" s="6">
        <v>0</v>
      </c>
      <c r="G259" s="6">
        <v>20397</v>
      </c>
      <c r="H259" s="6">
        <v>39687</v>
      </c>
      <c r="I259" s="6">
        <v>0</v>
      </c>
      <c r="J259" s="6">
        <v>0</v>
      </c>
      <c r="K259" s="130">
        <v>77515</v>
      </c>
      <c r="L259" s="130">
        <v>0</v>
      </c>
      <c r="M259" s="356">
        <f t="shared" si="52"/>
        <v>0</v>
      </c>
      <c r="N259" s="330">
        <f t="shared" si="59"/>
        <v>0</v>
      </c>
      <c r="O259" s="130">
        <v>0</v>
      </c>
      <c r="P259" s="354"/>
      <c r="Q259" s="358">
        <f t="shared" si="60"/>
        <v>0</v>
      </c>
      <c r="R259" s="356"/>
      <c r="S259" s="356"/>
      <c r="T259" s="492"/>
    </row>
    <row r="260" spans="1:20" s="167" customFormat="1" ht="13.5" customHeight="1">
      <c r="A260" s="510"/>
      <c r="B260" s="130"/>
      <c r="C260" s="130" t="s">
        <v>329</v>
      </c>
      <c r="D260" s="6"/>
      <c r="E260" s="6"/>
      <c r="F260" s="6"/>
      <c r="G260" s="6"/>
      <c r="H260" s="6"/>
      <c r="I260" s="6"/>
      <c r="J260" s="6"/>
      <c r="K260" s="130">
        <v>0</v>
      </c>
      <c r="L260" s="130">
        <v>10905</v>
      </c>
      <c r="M260" s="356">
        <v>0</v>
      </c>
      <c r="N260" s="330">
        <f t="shared" si="59"/>
        <v>10905</v>
      </c>
      <c r="O260" s="130">
        <v>0</v>
      </c>
      <c r="P260" s="354"/>
      <c r="Q260" s="358">
        <f t="shared" si="60"/>
        <v>10905</v>
      </c>
      <c r="R260" s="356"/>
      <c r="S260" s="356"/>
      <c r="T260" s="492"/>
    </row>
    <row r="261" spans="1:20" s="167" customFormat="1" ht="13.5" customHeight="1">
      <c r="A261" s="510"/>
      <c r="B261" s="130"/>
      <c r="C261" s="130" t="s">
        <v>330</v>
      </c>
      <c r="D261" s="6"/>
      <c r="E261" s="6"/>
      <c r="F261" s="6"/>
      <c r="G261" s="6"/>
      <c r="H261" s="6"/>
      <c r="I261" s="6"/>
      <c r="J261" s="6"/>
      <c r="K261" s="130">
        <v>0</v>
      </c>
      <c r="L261" s="130">
        <v>17089</v>
      </c>
      <c r="M261" s="356">
        <v>0</v>
      </c>
      <c r="N261" s="330">
        <f t="shared" si="59"/>
        <v>17089</v>
      </c>
      <c r="O261" s="130">
        <v>0</v>
      </c>
      <c r="P261" s="354"/>
      <c r="Q261" s="358">
        <f t="shared" si="60"/>
        <v>17089</v>
      </c>
      <c r="R261" s="356"/>
      <c r="S261" s="356"/>
      <c r="T261" s="492"/>
    </row>
    <row r="262" spans="1:20" s="167" customFormat="1" ht="13.5" customHeight="1">
      <c r="A262" s="510"/>
      <c r="B262" s="130"/>
      <c r="C262" s="130" t="s">
        <v>328</v>
      </c>
      <c r="D262" s="6"/>
      <c r="E262" s="6"/>
      <c r="F262" s="6"/>
      <c r="G262" s="6"/>
      <c r="H262" s="6">
        <v>171443</v>
      </c>
      <c r="I262" s="6">
        <v>0</v>
      </c>
      <c r="J262" s="6">
        <v>0</v>
      </c>
      <c r="K262" s="130">
        <v>198661</v>
      </c>
      <c r="L262" s="130">
        <v>204276</v>
      </c>
      <c r="M262" s="356">
        <f t="shared" si="52"/>
        <v>1.0282642290132438</v>
      </c>
      <c r="N262" s="330">
        <f t="shared" si="59"/>
        <v>204276</v>
      </c>
      <c r="O262" s="130">
        <v>0</v>
      </c>
      <c r="P262" s="354"/>
      <c r="Q262" s="358">
        <f t="shared" si="60"/>
        <v>204276</v>
      </c>
      <c r="R262" s="356"/>
      <c r="S262" s="356"/>
      <c r="T262" s="492"/>
    </row>
    <row r="263" spans="1:20" s="167" customFormat="1" ht="18.75" customHeight="1">
      <c r="A263" s="508" t="s">
        <v>878</v>
      </c>
      <c r="B263" s="353"/>
      <c r="C263" s="326" t="s">
        <v>879</v>
      </c>
      <c r="D263" s="326"/>
      <c r="E263" s="326"/>
      <c r="F263" s="326"/>
      <c r="G263" s="326"/>
      <c r="H263" s="326" t="e">
        <f>H264+H266+H267+H268+H269+H270+H272+#REF!</f>
        <v>#REF!</v>
      </c>
      <c r="I263" s="326" t="e">
        <f>I264+I266+I267+I268+I269+I270+I272+#REF!</f>
        <v>#REF!</v>
      </c>
      <c r="J263" s="326" t="e">
        <f>J264+J266+J267+J268+J269+J270+J272+#REF!</f>
        <v>#REF!</v>
      </c>
      <c r="K263" s="353">
        <f>SUM(K264:K272)</f>
        <v>985060</v>
      </c>
      <c r="L263" s="353">
        <f>SUM(L264:L272)</f>
        <v>1056198</v>
      </c>
      <c r="M263" s="539">
        <f t="shared" si="52"/>
        <v>1.0722169207967027</v>
      </c>
      <c r="N263" s="353">
        <f aca="true" t="shared" si="61" ref="N263:T263">SUM(N264:N272)</f>
        <v>1056198</v>
      </c>
      <c r="O263" s="353">
        <f t="shared" si="61"/>
        <v>823716</v>
      </c>
      <c r="P263" s="353">
        <f t="shared" si="61"/>
        <v>151673</v>
      </c>
      <c r="Q263" s="353">
        <f t="shared" si="61"/>
        <v>0</v>
      </c>
      <c r="R263" s="353">
        <f t="shared" si="61"/>
        <v>0</v>
      </c>
      <c r="S263" s="353">
        <f t="shared" si="61"/>
        <v>0</v>
      </c>
      <c r="T263" s="491">
        <f t="shared" si="61"/>
        <v>0</v>
      </c>
    </row>
    <row r="264" spans="1:20" s="167" customFormat="1" ht="22.5" customHeight="1">
      <c r="A264" s="510"/>
      <c r="B264" s="130">
        <v>4010</v>
      </c>
      <c r="C264" s="129" t="s">
        <v>3</v>
      </c>
      <c r="D264" s="6"/>
      <c r="E264" s="6"/>
      <c r="F264" s="6"/>
      <c r="G264" s="6"/>
      <c r="H264" s="6">
        <v>322855</v>
      </c>
      <c r="I264" s="6">
        <v>0</v>
      </c>
      <c r="J264" s="6">
        <v>0</v>
      </c>
      <c r="K264" s="130">
        <v>705889</v>
      </c>
      <c r="L264" s="130">
        <v>763255</v>
      </c>
      <c r="M264" s="356">
        <f t="shared" si="52"/>
        <v>1.0812677347288313</v>
      </c>
      <c r="N264" s="130">
        <f>L264</f>
        <v>763255</v>
      </c>
      <c r="O264" s="130">
        <f>N264</f>
        <v>763255</v>
      </c>
      <c r="P264" s="354"/>
      <c r="Q264" s="355">
        <v>0</v>
      </c>
      <c r="R264" s="356"/>
      <c r="S264" s="356"/>
      <c r="T264" s="492"/>
    </row>
    <row r="265" spans="1:20" s="167" customFormat="1" ht="19.5" customHeight="1">
      <c r="A265" s="510"/>
      <c r="B265" s="130">
        <v>4040</v>
      </c>
      <c r="C265" s="129" t="s">
        <v>7</v>
      </c>
      <c r="D265" s="6"/>
      <c r="E265" s="6"/>
      <c r="F265" s="6"/>
      <c r="G265" s="6"/>
      <c r="H265" s="6"/>
      <c r="I265" s="6"/>
      <c r="J265" s="6"/>
      <c r="K265" s="130">
        <v>54240</v>
      </c>
      <c r="L265" s="130">
        <v>60461</v>
      </c>
      <c r="M265" s="356">
        <f t="shared" si="52"/>
        <v>1.1146939528023598</v>
      </c>
      <c r="N265" s="130">
        <f aca="true" t="shared" si="62" ref="N265:N272">L265</f>
        <v>60461</v>
      </c>
      <c r="O265" s="130">
        <f>N265</f>
        <v>60461</v>
      </c>
      <c r="P265" s="354"/>
      <c r="Q265" s="355">
        <v>0</v>
      </c>
      <c r="R265" s="356"/>
      <c r="S265" s="356"/>
      <c r="T265" s="492"/>
    </row>
    <row r="266" spans="1:20" s="167" customFormat="1" ht="13.5" customHeight="1">
      <c r="A266" s="510"/>
      <c r="B266" s="130">
        <v>4110</v>
      </c>
      <c r="C266" s="129" t="s">
        <v>70</v>
      </c>
      <c r="D266" s="6"/>
      <c r="E266" s="6"/>
      <c r="F266" s="6"/>
      <c r="G266" s="6"/>
      <c r="H266" s="6">
        <v>58061</v>
      </c>
      <c r="I266" s="6">
        <v>0</v>
      </c>
      <c r="J266" s="6">
        <v>0</v>
      </c>
      <c r="K266" s="130">
        <v>130202</v>
      </c>
      <c r="L266" s="130">
        <v>132915</v>
      </c>
      <c r="M266" s="356">
        <f aca="true" t="shared" si="63" ref="M266:M329">L266/K266</f>
        <v>1.0208368535045544</v>
      </c>
      <c r="N266" s="130">
        <f t="shared" si="62"/>
        <v>132915</v>
      </c>
      <c r="O266" s="130">
        <v>0</v>
      </c>
      <c r="P266" s="354">
        <f>N266</f>
        <v>132915</v>
      </c>
      <c r="Q266" s="355">
        <v>0</v>
      </c>
      <c r="R266" s="356"/>
      <c r="S266" s="356"/>
      <c r="T266" s="492"/>
    </row>
    <row r="267" spans="1:20" s="167" customFormat="1" ht="13.5" customHeight="1">
      <c r="A267" s="510"/>
      <c r="B267" s="130">
        <v>4120</v>
      </c>
      <c r="C267" s="129" t="s">
        <v>9</v>
      </c>
      <c r="D267" s="6"/>
      <c r="E267" s="6"/>
      <c r="F267" s="6"/>
      <c r="G267" s="6"/>
      <c r="H267" s="6">
        <v>7696</v>
      </c>
      <c r="I267" s="6">
        <v>0</v>
      </c>
      <c r="J267" s="6">
        <v>0</v>
      </c>
      <c r="K267" s="130">
        <v>17732</v>
      </c>
      <c r="L267" s="130">
        <v>18758</v>
      </c>
      <c r="M267" s="356">
        <f t="shared" si="63"/>
        <v>1.0578614933453643</v>
      </c>
      <c r="N267" s="130">
        <f t="shared" si="62"/>
        <v>18758</v>
      </c>
      <c r="O267" s="130">
        <v>0</v>
      </c>
      <c r="P267" s="354">
        <f>N267</f>
        <v>18758</v>
      </c>
      <c r="Q267" s="355">
        <v>0</v>
      </c>
      <c r="R267" s="356"/>
      <c r="S267" s="356"/>
      <c r="T267" s="492"/>
    </row>
    <row r="268" spans="1:20" s="167" customFormat="1" ht="13.5" customHeight="1">
      <c r="A268" s="510"/>
      <c r="B268" s="130">
        <v>4210</v>
      </c>
      <c r="C268" s="130" t="s">
        <v>37</v>
      </c>
      <c r="D268" s="6"/>
      <c r="E268" s="6"/>
      <c r="F268" s="6"/>
      <c r="G268" s="6"/>
      <c r="H268" s="6">
        <v>44979</v>
      </c>
      <c r="I268" s="6">
        <v>0</v>
      </c>
      <c r="J268" s="6">
        <v>0</v>
      </c>
      <c r="K268" s="130">
        <v>2040</v>
      </c>
      <c r="L268" s="130">
        <v>2080</v>
      </c>
      <c r="M268" s="356">
        <f t="shared" si="63"/>
        <v>1.0196078431372548</v>
      </c>
      <c r="N268" s="130">
        <f t="shared" si="62"/>
        <v>2080</v>
      </c>
      <c r="O268" s="130">
        <v>0</v>
      </c>
      <c r="P268" s="354"/>
      <c r="Q268" s="355">
        <v>0</v>
      </c>
      <c r="R268" s="356"/>
      <c r="S268" s="356"/>
      <c r="T268" s="492"/>
    </row>
    <row r="269" spans="1:20" s="167" customFormat="1" ht="13.5" customHeight="1">
      <c r="A269" s="510"/>
      <c r="B269" s="130">
        <v>4260</v>
      </c>
      <c r="C269" s="130" t="s">
        <v>97</v>
      </c>
      <c r="D269" s="6"/>
      <c r="E269" s="6"/>
      <c r="F269" s="6"/>
      <c r="G269" s="6"/>
      <c r="H269" s="6">
        <v>12000</v>
      </c>
      <c r="I269" s="6">
        <v>0</v>
      </c>
      <c r="J269" s="6">
        <v>0</v>
      </c>
      <c r="K269" s="130">
        <v>17200</v>
      </c>
      <c r="L269" s="130">
        <v>17527</v>
      </c>
      <c r="M269" s="356">
        <f t="shared" si="63"/>
        <v>1.0190116279069767</v>
      </c>
      <c r="N269" s="130">
        <f t="shared" si="62"/>
        <v>17527</v>
      </c>
      <c r="O269" s="130">
        <v>0</v>
      </c>
      <c r="P269" s="354"/>
      <c r="Q269" s="355">
        <v>0</v>
      </c>
      <c r="R269" s="356"/>
      <c r="S269" s="356"/>
      <c r="T269" s="492"/>
    </row>
    <row r="270" spans="1:20" s="167" customFormat="1" ht="13.5" customHeight="1">
      <c r="A270" s="510"/>
      <c r="B270" s="130">
        <v>4300</v>
      </c>
      <c r="C270" s="130" t="s">
        <v>17</v>
      </c>
      <c r="D270" s="6"/>
      <c r="E270" s="6"/>
      <c r="F270" s="6"/>
      <c r="G270" s="6"/>
      <c r="H270" s="6">
        <v>4664</v>
      </c>
      <c r="I270" s="6">
        <v>0</v>
      </c>
      <c r="J270" s="6">
        <v>0</v>
      </c>
      <c r="K270" s="130">
        <v>8680</v>
      </c>
      <c r="L270" s="130">
        <v>8524</v>
      </c>
      <c r="M270" s="356">
        <f t="shared" si="63"/>
        <v>0.9820276497695852</v>
      </c>
      <c r="N270" s="130">
        <f t="shared" si="62"/>
        <v>8524</v>
      </c>
      <c r="O270" s="130">
        <v>0</v>
      </c>
      <c r="P270" s="354"/>
      <c r="Q270" s="355">
        <v>0</v>
      </c>
      <c r="R270" s="356"/>
      <c r="S270" s="356"/>
      <c r="T270" s="492"/>
    </row>
    <row r="271" spans="1:20" s="167" customFormat="1" ht="13.5" customHeight="1">
      <c r="A271" s="510"/>
      <c r="B271" s="130">
        <v>4370</v>
      </c>
      <c r="C271" s="129" t="s">
        <v>320</v>
      </c>
      <c r="D271" s="6"/>
      <c r="E271" s="6"/>
      <c r="F271" s="6"/>
      <c r="G271" s="6"/>
      <c r="H271" s="6"/>
      <c r="I271" s="6"/>
      <c r="J271" s="6"/>
      <c r="K271" s="130">
        <v>1920</v>
      </c>
      <c r="L271" s="130">
        <v>1920</v>
      </c>
      <c r="M271" s="356">
        <f t="shared" si="63"/>
        <v>1</v>
      </c>
      <c r="N271" s="130">
        <f t="shared" si="62"/>
        <v>1920</v>
      </c>
      <c r="O271" s="130"/>
      <c r="P271" s="354"/>
      <c r="Q271" s="355"/>
      <c r="R271" s="356"/>
      <c r="S271" s="356"/>
      <c r="T271" s="492"/>
    </row>
    <row r="272" spans="1:20" s="167" customFormat="1" ht="13.5" customHeight="1">
      <c r="A272" s="510"/>
      <c r="B272" s="130">
        <v>4440</v>
      </c>
      <c r="C272" s="130" t="s">
        <v>23</v>
      </c>
      <c r="D272" s="6"/>
      <c r="E272" s="6"/>
      <c r="F272" s="6"/>
      <c r="G272" s="6"/>
      <c r="H272" s="6">
        <v>15378</v>
      </c>
      <c r="I272" s="6">
        <v>0</v>
      </c>
      <c r="J272" s="6">
        <v>0</v>
      </c>
      <c r="K272" s="130">
        <v>47157</v>
      </c>
      <c r="L272" s="130">
        <v>50758</v>
      </c>
      <c r="M272" s="356">
        <f t="shared" si="63"/>
        <v>1.0763619399028777</v>
      </c>
      <c r="N272" s="130">
        <f t="shared" si="62"/>
        <v>50758</v>
      </c>
      <c r="O272" s="130">
        <v>0</v>
      </c>
      <c r="P272" s="354"/>
      <c r="Q272" s="355">
        <v>0</v>
      </c>
      <c r="R272" s="356"/>
      <c r="S272" s="356"/>
      <c r="T272" s="492"/>
    </row>
    <row r="273" spans="1:20" s="167" customFormat="1" ht="18.75" customHeight="1">
      <c r="A273" s="508" t="s">
        <v>204</v>
      </c>
      <c r="B273" s="509"/>
      <c r="C273" s="326" t="s">
        <v>205</v>
      </c>
      <c r="D273" s="326">
        <f>D275+D276+D277+D274</f>
        <v>1881934</v>
      </c>
      <c r="E273" s="326" t="e">
        <f>E275+E276+E277+E278+#REF!+E274+E281+E282+E283+E284+E286+E290+E292+E293+E299+E298</f>
        <v>#REF!</v>
      </c>
      <c r="F273" s="326" t="e">
        <f>F275+F276+F277+F278+#REF!+F274+F281+F282+F283+F284+F286+F290+F292+F293+F299+F298</f>
        <v>#REF!</v>
      </c>
      <c r="G273" s="326" t="e">
        <f>G275+G276+G277+G278+#REF!+G274+G281+G282+G283+G284+G286+G290+G292+G293+G299+G298</f>
        <v>#REF!</v>
      </c>
      <c r="H273" s="326" t="e">
        <f>H275+H276+H277+H278+#REF!+H274+H281+H282+H283+H284+H286+H290+H292+H293+H299+H298+H279+H294+H323+H324</f>
        <v>#REF!</v>
      </c>
      <c r="I273" s="326" t="e">
        <f>I275+I276+I277+I278+#REF!+I274+I281+I282+I283+I284+I286+I290+I292+I293+I299+I298+I279+I294+I323+I324</f>
        <v>#REF!</v>
      </c>
      <c r="J273" s="326" t="e">
        <f>J275+J276+J277+J278+#REF!+J274+J281+J282+J283+J284+J286+J290+J292+J293+J299+J298+J279+J294+J323+J324</f>
        <v>#REF!</v>
      </c>
      <c r="K273" s="353">
        <f>SUM(K274:K299)</f>
        <v>4804336</v>
      </c>
      <c r="L273" s="353">
        <f>SUM(L274:L299)</f>
        <v>4481673</v>
      </c>
      <c r="M273" s="539">
        <f t="shared" si="63"/>
        <v>0.9328392102467438</v>
      </c>
      <c r="N273" s="353">
        <f aca="true" t="shared" si="64" ref="N273:T273">SUM(N274:N299)</f>
        <v>4481673</v>
      </c>
      <c r="O273" s="353">
        <f t="shared" si="64"/>
        <v>2895691</v>
      </c>
      <c r="P273" s="353">
        <f t="shared" si="64"/>
        <v>533515</v>
      </c>
      <c r="Q273" s="353">
        <f t="shared" si="64"/>
        <v>63095</v>
      </c>
      <c r="R273" s="353">
        <f t="shared" si="64"/>
        <v>0</v>
      </c>
      <c r="S273" s="353">
        <f t="shared" si="64"/>
        <v>0</v>
      </c>
      <c r="T273" s="491">
        <f t="shared" si="64"/>
        <v>0</v>
      </c>
    </row>
    <row r="274" spans="1:20" s="167" customFormat="1" ht="18" customHeight="1">
      <c r="A274" s="510"/>
      <c r="B274" s="145" t="s">
        <v>910</v>
      </c>
      <c r="C274" s="129" t="s">
        <v>206</v>
      </c>
      <c r="D274" s="6">
        <v>262062</v>
      </c>
      <c r="E274" s="6">
        <v>7439</v>
      </c>
      <c r="F274" s="6">
        <v>0</v>
      </c>
      <c r="G274" s="6">
        <v>0</v>
      </c>
      <c r="H274" s="6">
        <v>4872</v>
      </c>
      <c r="I274" s="6">
        <v>0</v>
      </c>
      <c r="J274" s="6">
        <v>0</v>
      </c>
      <c r="K274" s="130">
        <v>5120</v>
      </c>
      <c r="L274" s="130">
        <v>1000</v>
      </c>
      <c r="M274" s="356">
        <f t="shared" si="63"/>
        <v>0.1953125</v>
      </c>
      <c r="N274" s="130">
        <f>L274</f>
        <v>1000</v>
      </c>
      <c r="O274" s="130">
        <v>0</v>
      </c>
      <c r="P274" s="354"/>
      <c r="Q274" s="355">
        <v>0</v>
      </c>
      <c r="R274" s="356"/>
      <c r="S274" s="356"/>
      <c r="T274" s="492"/>
    </row>
    <row r="275" spans="1:20" s="167" customFormat="1" ht="15.75" customHeight="1">
      <c r="A275" s="510"/>
      <c r="B275" s="145" t="s">
        <v>2</v>
      </c>
      <c r="C275" s="129" t="s">
        <v>397</v>
      </c>
      <c r="D275" s="6">
        <v>1306363</v>
      </c>
      <c r="E275" s="6">
        <v>2620120</v>
      </c>
      <c r="F275" s="6">
        <v>76198</v>
      </c>
      <c r="G275" s="6">
        <v>0</v>
      </c>
      <c r="H275" s="6">
        <v>2507234</v>
      </c>
      <c r="I275" s="6">
        <v>0</v>
      </c>
      <c r="J275" s="6">
        <v>0</v>
      </c>
      <c r="K275" s="130">
        <v>2875605</v>
      </c>
      <c r="L275" s="130">
        <v>2637536</v>
      </c>
      <c r="M275" s="356">
        <f t="shared" si="63"/>
        <v>0.9172108130289104</v>
      </c>
      <c r="N275" s="130">
        <f aca="true" t="shared" si="65" ref="N275:N301">L275</f>
        <v>2637536</v>
      </c>
      <c r="O275" s="130">
        <f>N275</f>
        <v>2637536</v>
      </c>
      <c r="P275" s="354"/>
      <c r="Q275" s="355">
        <v>0</v>
      </c>
      <c r="R275" s="356"/>
      <c r="S275" s="356"/>
      <c r="T275" s="492"/>
    </row>
    <row r="276" spans="1:20" s="167" customFormat="1" ht="15" customHeight="1">
      <c r="A276" s="510"/>
      <c r="B276" s="145" t="s">
        <v>6</v>
      </c>
      <c r="C276" s="129" t="s">
        <v>7</v>
      </c>
      <c r="D276" s="6">
        <v>74072</v>
      </c>
      <c r="E276" s="6">
        <v>90144</v>
      </c>
      <c r="F276" s="6">
        <v>0</v>
      </c>
      <c r="G276" s="6">
        <v>0</v>
      </c>
      <c r="H276" s="6">
        <v>229094</v>
      </c>
      <c r="I276" s="6">
        <v>0</v>
      </c>
      <c r="J276" s="6">
        <v>0</v>
      </c>
      <c r="K276" s="130">
        <v>232928</v>
      </c>
      <c r="L276" s="130">
        <v>247155</v>
      </c>
      <c r="M276" s="356">
        <f t="shared" si="63"/>
        <v>1.061078960021981</v>
      </c>
      <c r="N276" s="130">
        <f t="shared" si="65"/>
        <v>247155</v>
      </c>
      <c r="O276" s="130">
        <f>N276</f>
        <v>247155</v>
      </c>
      <c r="P276" s="354"/>
      <c r="Q276" s="355">
        <v>0</v>
      </c>
      <c r="R276" s="356"/>
      <c r="S276" s="356"/>
      <c r="T276" s="492"/>
    </row>
    <row r="277" spans="1:20" s="167" customFormat="1" ht="12.75" customHeight="1">
      <c r="A277" s="510"/>
      <c r="B277" s="519" t="s">
        <v>56</v>
      </c>
      <c r="C277" s="129" t="s">
        <v>70</v>
      </c>
      <c r="D277" s="6">
        <v>239437</v>
      </c>
      <c r="E277" s="6">
        <v>480155</v>
      </c>
      <c r="F277" s="6">
        <v>6005</v>
      </c>
      <c r="G277" s="6">
        <v>0</v>
      </c>
      <c r="H277" s="6">
        <v>471989</v>
      </c>
      <c r="I277" s="6">
        <v>0</v>
      </c>
      <c r="J277" s="6">
        <v>0</v>
      </c>
      <c r="K277" s="130">
        <v>510820</v>
      </c>
      <c r="L277" s="130">
        <v>467863</v>
      </c>
      <c r="M277" s="356">
        <f t="shared" si="63"/>
        <v>0.9159057985200266</v>
      </c>
      <c r="N277" s="130">
        <f t="shared" si="65"/>
        <v>467863</v>
      </c>
      <c r="O277" s="130"/>
      <c r="P277" s="354">
        <f>N277</f>
        <v>467863</v>
      </c>
      <c r="Q277" s="355"/>
      <c r="R277" s="356"/>
      <c r="S277" s="356"/>
      <c r="T277" s="492"/>
    </row>
    <row r="278" spans="1:20" s="167" customFormat="1" ht="15" customHeight="1">
      <c r="A278" s="510"/>
      <c r="B278" s="519" t="s">
        <v>8</v>
      </c>
      <c r="C278" s="129" t="s">
        <v>9</v>
      </c>
      <c r="D278" s="6"/>
      <c r="E278" s="6">
        <v>62713</v>
      </c>
      <c r="F278" s="6">
        <v>822</v>
      </c>
      <c r="G278" s="6">
        <v>0</v>
      </c>
      <c r="H278" s="6">
        <v>64920</v>
      </c>
      <c r="I278" s="6">
        <v>0</v>
      </c>
      <c r="J278" s="6">
        <v>0</v>
      </c>
      <c r="K278" s="130">
        <v>69612</v>
      </c>
      <c r="L278" s="130">
        <v>65652</v>
      </c>
      <c r="M278" s="356">
        <f t="shared" si="63"/>
        <v>0.9431132563351147</v>
      </c>
      <c r="N278" s="130">
        <f t="shared" si="65"/>
        <v>65652</v>
      </c>
      <c r="O278" s="130"/>
      <c r="P278" s="354">
        <f>N278</f>
        <v>65652</v>
      </c>
      <c r="Q278" s="355"/>
      <c r="R278" s="356"/>
      <c r="S278" s="356"/>
      <c r="T278" s="492"/>
    </row>
    <row r="279" spans="1:20" s="167" customFormat="1" ht="14.25" customHeight="1">
      <c r="A279" s="510"/>
      <c r="B279" s="145" t="s">
        <v>145</v>
      </c>
      <c r="C279" s="129" t="s">
        <v>207</v>
      </c>
      <c r="D279" s="6"/>
      <c r="E279" s="6"/>
      <c r="F279" s="6"/>
      <c r="G279" s="6"/>
      <c r="H279" s="6">
        <v>8642</v>
      </c>
      <c r="I279" s="6">
        <v>0</v>
      </c>
      <c r="J279" s="6">
        <v>0</v>
      </c>
      <c r="K279" s="130">
        <v>6100</v>
      </c>
      <c r="L279" s="130">
        <v>28000</v>
      </c>
      <c r="M279" s="356">
        <f t="shared" si="63"/>
        <v>4.590163934426229</v>
      </c>
      <c r="N279" s="130">
        <f t="shared" si="65"/>
        <v>28000</v>
      </c>
      <c r="O279" s="130"/>
      <c r="P279" s="354"/>
      <c r="Q279" s="355">
        <v>0</v>
      </c>
      <c r="R279" s="356"/>
      <c r="S279" s="356"/>
      <c r="T279" s="492"/>
    </row>
    <row r="280" spans="1:20" s="167" customFormat="1" ht="14.25" customHeight="1">
      <c r="A280" s="510"/>
      <c r="B280" s="145" t="s">
        <v>735</v>
      </c>
      <c r="C280" s="129" t="s">
        <v>736</v>
      </c>
      <c r="D280" s="6"/>
      <c r="E280" s="6"/>
      <c r="F280" s="6"/>
      <c r="G280" s="6"/>
      <c r="H280" s="6"/>
      <c r="I280" s="6"/>
      <c r="J280" s="6"/>
      <c r="K280" s="130">
        <v>11326</v>
      </c>
      <c r="L280" s="130">
        <v>11000</v>
      </c>
      <c r="M280" s="356">
        <f t="shared" si="63"/>
        <v>0.9712166696097475</v>
      </c>
      <c r="N280" s="130">
        <f t="shared" si="65"/>
        <v>11000</v>
      </c>
      <c r="O280" s="130">
        <f>N280</f>
        <v>11000</v>
      </c>
      <c r="P280" s="354"/>
      <c r="Q280" s="355">
        <v>0</v>
      </c>
      <c r="R280" s="356"/>
      <c r="S280" s="356"/>
      <c r="T280" s="492"/>
    </row>
    <row r="281" spans="1:20" s="167" customFormat="1" ht="15" customHeight="1">
      <c r="A281" s="510"/>
      <c r="B281" s="145" t="s">
        <v>10</v>
      </c>
      <c r="C281" s="130" t="s">
        <v>37</v>
      </c>
      <c r="D281" s="6"/>
      <c r="E281" s="6">
        <v>262668</v>
      </c>
      <c r="F281" s="6">
        <v>7750</v>
      </c>
      <c r="G281" s="6">
        <v>0</v>
      </c>
      <c r="H281" s="6">
        <v>374867</v>
      </c>
      <c r="I281" s="6">
        <v>0</v>
      </c>
      <c r="J281" s="6">
        <v>0</v>
      </c>
      <c r="K281" s="130">
        <v>577914</v>
      </c>
      <c r="L281" s="130">
        <v>561528</v>
      </c>
      <c r="M281" s="356">
        <f t="shared" si="63"/>
        <v>0.9716463003145797</v>
      </c>
      <c r="N281" s="130">
        <f t="shared" si="65"/>
        <v>561528</v>
      </c>
      <c r="O281" s="130">
        <v>0</v>
      </c>
      <c r="P281" s="354"/>
      <c r="Q281" s="355">
        <v>0</v>
      </c>
      <c r="R281" s="356"/>
      <c r="S281" s="356"/>
      <c r="T281" s="492"/>
    </row>
    <row r="282" spans="1:20" s="167" customFormat="1" ht="15" customHeight="1">
      <c r="A282" s="510"/>
      <c r="B282" s="145" t="s">
        <v>133</v>
      </c>
      <c r="C282" s="130" t="s">
        <v>134</v>
      </c>
      <c r="D282" s="6"/>
      <c r="E282" s="6">
        <v>5206</v>
      </c>
      <c r="F282" s="6">
        <v>0</v>
      </c>
      <c r="G282" s="6">
        <v>1000</v>
      </c>
      <c r="H282" s="6">
        <v>6041</v>
      </c>
      <c r="I282" s="6">
        <v>0</v>
      </c>
      <c r="J282" s="6">
        <v>0</v>
      </c>
      <c r="K282" s="130">
        <v>11200</v>
      </c>
      <c r="L282" s="130">
        <v>11356</v>
      </c>
      <c r="M282" s="356">
        <f t="shared" si="63"/>
        <v>1.0139285714285715</v>
      </c>
      <c r="N282" s="130">
        <f t="shared" si="65"/>
        <v>11356</v>
      </c>
      <c r="O282" s="130">
        <v>0</v>
      </c>
      <c r="P282" s="354"/>
      <c r="Q282" s="355">
        <v>0</v>
      </c>
      <c r="R282" s="356"/>
      <c r="S282" s="356"/>
      <c r="T282" s="492"/>
    </row>
    <row r="283" spans="1:20" s="167" customFormat="1" ht="14.25" customHeight="1">
      <c r="A283" s="510"/>
      <c r="B283" s="145" t="s">
        <v>12</v>
      </c>
      <c r="C283" s="130" t="s">
        <v>97</v>
      </c>
      <c r="D283" s="6"/>
      <c r="E283" s="6">
        <v>47707</v>
      </c>
      <c r="F283" s="6">
        <v>0</v>
      </c>
      <c r="G283" s="6">
        <v>3000</v>
      </c>
      <c r="H283" s="6">
        <v>88260</v>
      </c>
      <c r="I283" s="6">
        <v>0</v>
      </c>
      <c r="J283" s="6">
        <v>0</v>
      </c>
      <c r="K283" s="130">
        <v>65278</v>
      </c>
      <c r="L283" s="130">
        <v>73242</v>
      </c>
      <c r="M283" s="356">
        <f t="shared" si="63"/>
        <v>1.12200128680413</v>
      </c>
      <c r="N283" s="130">
        <f t="shared" si="65"/>
        <v>73242</v>
      </c>
      <c r="O283" s="130">
        <v>0</v>
      </c>
      <c r="P283" s="354"/>
      <c r="Q283" s="355">
        <v>0</v>
      </c>
      <c r="R283" s="356"/>
      <c r="S283" s="356"/>
      <c r="T283" s="492"/>
    </row>
    <row r="284" spans="1:20" s="167" customFormat="1" ht="14.25" customHeight="1">
      <c r="A284" s="510"/>
      <c r="B284" s="145" t="s">
        <v>14</v>
      </c>
      <c r="C284" s="130" t="s">
        <v>98</v>
      </c>
      <c r="D284" s="6"/>
      <c r="E284" s="6">
        <v>55847</v>
      </c>
      <c r="F284" s="6">
        <v>0</v>
      </c>
      <c r="G284" s="6">
        <v>765</v>
      </c>
      <c r="H284" s="6">
        <v>241716</v>
      </c>
      <c r="I284" s="6">
        <v>0</v>
      </c>
      <c r="J284" s="6">
        <v>0</v>
      </c>
      <c r="K284" s="130">
        <v>0</v>
      </c>
      <c r="L284" s="130">
        <v>0</v>
      </c>
      <c r="M284" s="356">
        <v>0</v>
      </c>
      <c r="N284" s="130">
        <f t="shared" si="65"/>
        <v>0</v>
      </c>
      <c r="O284" s="130">
        <v>0</v>
      </c>
      <c r="P284" s="354"/>
      <c r="Q284" s="355">
        <v>0</v>
      </c>
      <c r="R284" s="356"/>
      <c r="S284" s="356"/>
      <c r="T284" s="492"/>
    </row>
    <row r="285" spans="1:20" s="167" customFormat="1" ht="14.25" customHeight="1">
      <c r="A285" s="510"/>
      <c r="B285" s="145" t="s">
        <v>76</v>
      </c>
      <c r="C285" s="130" t="s">
        <v>77</v>
      </c>
      <c r="D285" s="6"/>
      <c r="E285" s="6"/>
      <c r="F285" s="6"/>
      <c r="G285" s="6"/>
      <c r="H285" s="6"/>
      <c r="I285" s="6"/>
      <c r="J285" s="6"/>
      <c r="K285" s="130">
        <v>6125</v>
      </c>
      <c r="L285" s="130">
        <v>6125</v>
      </c>
      <c r="M285" s="356">
        <f t="shared" si="63"/>
        <v>1</v>
      </c>
      <c r="N285" s="130">
        <f t="shared" si="65"/>
        <v>6125</v>
      </c>
      <c r="O285" s="130"/>
      <c r="P285" s="354"/>
      <c r="Q285" s="355"/>
      <c r="R285" s="356"/>
      <c r="S285" s="356"/>
      <c r="T285" s="492"/>
    </row>
    <row r="286" spans="1:20" s="167" customFormat="1" ht="14.25" customHeight="1">
      <c r="A286" s="510"/>
      <c r="B286" s="145" t="s">
        <v>16</v>
      </c>
      <c r="C286" s="130" t="s">
        <v>99</v>
      </c>
      <c r="D286" s="6"/>
      <c r="E286" s="6">
        <v>36614</v>
      </c>
      <c r="F286" s="6">
        <v>3715</v>
      </c>
      <c r="G286" s="6">
        <v>0</v>
      </c>
      <c r="H286" s="6">
        <v>96150</v>
      </c>
      <c r="I286" s="6">
        <v>0</v>
      </c>
      <c r="J286" s="6">
        <v>0</v>
      </c>
      <c r="K286" s="130">
        <v>101454</v>
      </c>
      <c r="L286" s="130">
        <v>103382</v>
      </c>
      <c r="M286" s="356">
        <f t="shared" si="63"/>
        <v>1.0190036863997476</v>
      </c>
      <c r="N286" s="130">
        <f t="shared" si="65"/>
        <v>103382</v>
      </c>
      <c r="O286" s="130">
        <v>0</v>
      </c>
      <c r="P286" s="354"/>
      <c r="Q286" s="355">
        <v>0</v>
      </c>
      <c r="R286" s="356"/>
      <c r="S286" s="356"/>
      <c r="T286" s="492"/>
    </row>
    <row r="287" spans="1:20" s="167" customFormat="1" ht="14.25" customHeight="1">
      <c r="A287" s="510"/>
      <c r="B287" s="145" t="s">
        <v>737</v>
      </c>
      <c r="C287" s="130" t="s">
        <v>738</v>
      </c>
      <c r="D287" s="6"/>
      <c r="E287" s="6"/>
      <c r="F287" s="6"/>
      <c r="G287" s="6"/>
      <c r="H287" s="6"/>
      <c r="I287" s="6"/>
      <c r="J287" s="6"/>
      <c r="K287" s="130">
        <v>6206</v>
      </c>
      <c r="L287" s="130">
        <v>6800</v>
      </c>
      <c r="M287" s="356">
        <f t="shared" si="63"/>
        <v>1.0957138253303256</v>
      </c>
      <c r="N287" s="130">
        <f t="shared" si="65"/>
        <v>6800</v>
      </c>
      <c r="O287" s="130">
        <v>0</v>
      </c>
      <c r="P287" s="354"/>
      <c r="Q287" s="355">
        <v>0</v>
      </c>
      <c r="R287" s="356"/>
      <c r="S287" s="356"/>
      <c r="T287" s="492"/>
    </row>
    <row r="288" spans="1:20" s="167" customFormat="1" ht="14.25" customHeight="1">
      <c r="A288" s="510"/>
      <c r="B288" s="145" t="s">
        <v>324</v>
      </c>
      <c r="C288" s="129" t="s">
        <v>326</v>
      </c>
      <c r="D288" s="6"/>
      <c r="E288" s="6"/>
      <c r="F288" s="6"/>
      <c r="G288" s="6"/>
      <c r="H288" s="6"/>
      <c r="I288" s="6"/>
      <c r="J288" s="6"/>
      <c r="K288" s="130">
        <v>2800</v>
      </c>
      <c r="L288" s="130">
        <v>2853</v>
      </c>
      <c r="M288" s="356">
        <f t="shared" si="63"/>
        <v>1.0189285714285714</v>
      </c>
      <c r="N288" s="130">
        <f t="shared" si="65"/>
        <v>2853</v>
      </c>
      <c r="O288" s="130"/>
      <c r="P288" s="354"/>
      <c r="Q288" s="355"/>
      <c r="R288" s="356"/>
      <c r="S288" s="356"/>
      <c r="T288" s="492"/>
    </row>
    <row r="289" spans="1:20" s="167" customFormat="1" ht="14.25" customHeight="1">
      <c r="A289" s="510"/>
      <c r="B289" s="145" t="s">
        <v>316</v>
      </c>
      <c r="C289" s="129" t="s">
        <v>320</v>
      </c>
      <c r="D289" s="6"/>
      <c r="E289" s="6"/>
      <c r="F289" s="6"/>
      <c r="G289" s="6"/>
      <c r="H289" s="6"/>
      <c r="I289" s="6"/>
      <c r="J289" s="6"/>
      <c r="K289" s="130">
        <v>16650</v>
      </c>
      <c r="L289" s="130">
        <v>16400</v>
      </c>
      <c r="M289" s="356">
        <f t="shared" si="63"/>
        <v>0.984984984984985</v>
      </c>
      <c r="N289" s="130">
        <f t="shared" si="65"/>
        <v>16400</v>
      </c>
      <c r="O289" s="130"/>
      <c r="P289" s="354"/>
      <c r="Q289" s="355"/>
      <c r="R289" s="356"/>
      <c r="S289" s="356"/>
      <c r="T289" s="492"/>
    </row>
    <row r="290" spans="1:20" s="167" customFormat="1" ht="15" customHeight="1">
      <c r="A290" s="510"/>
      <c r="B290" s="145" t="s">
        <v>18</v>
      </c>
      <c r="C290" s="130" t="s">
        <v>19</v>
      </c>
      <c r="D290" s="6"/>
      <c r="E290" s="6">
        <v>3411</v>
      </c>
      <c r="F290" s="6">
        <v>0</v>
      </c>
      <c r="G290" s="6">
        <v>1800</v>
      </c>
      <c r="H290" s="6">
        <v>3500</v>
      </c>
      <c r="I290" s="6">
        <v>0</v>
      </c>
      <c r="J290" s="6">
        <v>0</v>
      </c>
      <c r="K290" s="130">
        <v>5500</v>
      </c>
      <c r="L290" s="130">
        <v>5529</v>
      </c>
      <c r="M290" s="356">
        <f t="shared" si="63"/>
        <v>1.0052727272727273</v>
      </c>
      <c r="N290" s="130">
        <f t="shared" si="65"/>
        <v>5529</v>
      </c>
      <c r="O290" s="130">
        <v>0</v>
      </c>
      <c r="P290" s="354"/>
      <c r="Q290" s="355">
        <v>0</v>
      </c>
      <c r="R290" s="356"/>
      <c r="S290" s="356"/>
      <c r="T290" s="492"/>
    </row>
    <row r="291" spans="1:20" s="167" customFormat="1" ht="15" customHeight="1">
      <c r="A291" s="510"/>
      <c r="B291" s="145" t="s">
        <v>884</v>
      </c>
      <c r="C291" s="130" t="s">
        <v>885</v>
      </c>
      <c r="D291" s="6"/>
      <c r="E291" s="6"/>
      <c r="F291" s="6"/>
      <c r="G291" s="6"/>
      <c r="H291" s="6"/>
      <c r="I291" s="6"/>
      <c r="J291" s="6"/>
      <c r="K291" s="130">
        <v>500</v>
      </c>
      <c r="L291" s="130">
        <v>500</v>
      </c>
      <c r="M291" s="356">
        <f t="shared" si="63"/>
        <v>1</v>
      </c>
      <c r="N291" s="130">
        <f t="shared" si="65"/>
        <v>500</v>
      </c>
      <c r="O291" s="130">
        <v>0</v>
      </c>
      <c r="P291" s="354"/>
      <c r="Q291" s="355">
        <v>0</v>
      </c>
      <c r="R291" s="356"/>
      <c r="S291" s="356"/>
      <c r="T291" s="492"/>
    </row>
    <row r="292" spans="1:20" s="167" customFormat="1" ht="12" customHeight="1">
      <c r="A292" s="510"/>
      <c r="B292" s="145" t="s">
        <v>20</v>
      </c>
      <c r="C292" s="130" t="s">
        <v>21</v>
      </c>
      <c r="D292" s="6"/>
      <c r="E292" s="6">
        <v>5700</v>
      </c>
      <c r="F292" s="6">
        <v>0</v>
      </c>
      <c r="G292" s="6">
        <v>0</v>
      </c>
      <c r="H292" s="14">
        <v>5900</v>
      </c>
      <c r="I292" s="6">
        <v>0</v>
      </c>
      <c r="J292" s="6">
        <v>0</v>
      </c>
      <c r="K292" s="130">
        <v>0</v>
      </c>
      <c r="L292" s="130">
        <v>0</v>
      </c>
      <c r="M292" s="356">
        <v>0</v>
      </c>
      <c r="N292" s="130">
        <f t="shared" si="65"/>
        <v>0</v>
      </c>
      <c r="O292" s="130">
        <v>0</v>
      </c>
      <c r="P292" s="354"/>
      <c r="Q292" s="355">
        <v>0</v>
      </c>
      <c r="R292" s="356"/>
      <c r="S292" s="356"/>
      <c r="T292" s="492"/>
    </row>
    <row r="293" spans="1:20" s="167" customFormat="1" ht="12.75" customHeight="1">
      <c r="A293" s="510"/>
      <c r="B293" s="145" t="s">
        <v>22</v>
      </c>
      <c r="C293" s="130" t="s">
        <v>23</v>
      </c>
      <c r="D293" s="6"/>
      <c r="E293" s="6">
        <v>156652</v>
      </c>
      <c r="F293" s="6">
        <v>0</v>
      </c>
      <c r="G293" s="6">
        <v>1550</v>
      </c>
      <c r="H293" s="6">
        <v>123022</v>
      </c>
      <c r="I293" s="6">
        <v>0</v>
      </c>
      <c r="J293" s="6">
        <v>0</v>
      </c>
      <c r="K293" s="130">
        <v>165996</v>
      </c>
      <c r="L293" s="130">
        <v>159323</v>
      </c>
      <c r="M293" s="356">
        <f t="shared" si="63"/>
        <v>0.9598002361502687</v>
      </c>
      <c r="N293" s="130">
        <f t="shared" si="65"/>
        <v>159323</v>
      </c>
      <c r="O293" s="130">
        <v>0</v>
      </c>
      <c r="P293" s="354"/>
      <c r="Q293" s="355">
        <v>0</v>
      </c>
      <c r="R293" s="356"/>
      <c r="S293" s="356"/>
      <c r="T293" s="492"/>
    </row>
    <row r="294" spans="1:20" s="167" customFormat="1" ht="13.5" customHeight="1">
      <c r="A294" s="510"/>
      <c r="B294" s="145" t="s">
        <v>38</v>
      </c>
      <c r="C294" s="130" t="s">
        <v>39</v>
      </c>
      <c r="D294" s="6"/>
      <c r="E294" s="6"/>
      <c r="F294" s="6"/>
      <c r="G294" s="6"/>
      <c r="H294" s="6">
        <v>0</v>
      </c>
      <c r="I294" s="6">
        <v>0</v>
      </c>
      <c r="J294" s="6">
        <v>0</v>
      </c>
      <c r="K294" s="130">
        <v>207</v>
      </c>
      <c r="L294" s="130">
        <v>207</v>
      </c>
      <c r="M294" s="356">
        <f t="shared" si="63"/>
        <v>1</v>
      </c>
      <c r="N294" s="130">
        <f t="shared" si="65"/>
        <v>207</v>
      </c>
      <c r="O294" s="130">
        <v>0</v>
      </c>
      <c r="P294" s="354"/>
      <c r="Q294" s="355">
        <v>0</v>
      </c>
      <c r="R294" s="356"/>
      <c r="S294" s="356"/>
      <c r="T294" s="492"/>
    </row>
    <row r="295" spans="1:20" s="167" customFormat="1" ht="13.5" customHeight="1">
      <c r="A295" s="510"/>
      <c r="B295" s="145" t="s">
        <v>761</v>
      </c>
      <c r="C295" s="130" t="s">
        <v>423</v>
      </c>
      <c r="D295" s="6"/>
      <c r="E295" s="6"/>
      <c r="F295" s="6"/>
      <c r="G295" s="6"/>
      <c r="H295" s="6"/>
      <c r="I295" s="6"/>
      <c r="J295" s="6"/>
      <c r="K295" s="130">
        <v>2767</v>
      </c>
      <c r="L295" s="130">
        <v>2000</v>
      </c>
      <c r="M295" s="356">
        <f t="shared" si="63"/>
        <v>0.7228044813877846</v>
      </c>
      <c r="N295" s="130">
        <f t="shared" si="65"/>
        <v>2000</v>
      </c>
      <c r="O295" s="130">
        <v>0</v>
      </c>
      <c r="P295" s="354"/>
      <c r="Q295" s="355">
        <v>0</v>
      </c>
      <c r="R295" s="356"/>
      <c r="S295" s="356"/>
      <c r="T295" s="492"/>
    </row>
    <row r="296" spans="1:20" s="167" customFormat="1" ht="13.5" customHeight="1">
      <c r="A296" s="510"/>
      <c r="B296" s="145" t="s">
        <v>318</v>
      </c>
      <c r="C296" s="129" t="s">
        <v>322</v>
      </c>
      <c r="D296" s="6"/>
      <c r="E296" s="6"/>
      <c r="F296" s="6"/>
      <c r="G296" s="6"/>
      <c r="H296" s="6"/>
      <c r="I296" s="6"/>
      <c r="J296" s="6"/>
      <c r="K296" s="130">
        <v>6450</v>
      </c>
      <c r="L296" s="130">
        <v>6527</v>
      </c>
      <c r="M296" s="356">
        <f t="shared" si="63"/>
        <v>1.011937984496124</v>
      </c>
      <c r="N296" s="130">
        <f t="shared" si="65"/>
        <v>6527</v>
      </c>
      <c r="O296" s="130"/>
      <c r="P296" s="354"/>
      <c r="Q296" s="355"/>
      <c r="R296" s="356"/>
      <c r="S296" s="356"/>
      <c r="T296" s="492"/>
    </row>
    <row r="297" spans="1:20" s="167" customFormat="1" ht="13.5" customHeight="1">
      <c r="A297" s="510"/>
      <c r="B297" s="145" t="s">
        <v>319</v>
      </c>
      <c r="C297" s="129" t="s">
        <v>323</v>
      </c>
      <c r="D297" s="6"/>
      <c r="E297" s="6"/>
      <c r="F297" s="6"/>
      <c r="G297" s="6"/>
      <c r="H297" s="6"/>
      <c r="I297" s="6"/>
      <c r="J297" s="6"/>
      <c r="K297" s="130">
        <v>2050</v>
      </c>
      <c r="L297" s="130">
        <v>4600</v>
      </c>
      <c r="M297" s="356">
        <f t="shared" si="63"/>
        <v>2.2439024390243905</v>
      </c>
      <c r="N297" s="130">
        <f t="shared" si="65"/>
        <v>4600</v>
      </c>
      <c r="O297" s="130"/>
      <c r="P297" s="354"/>
      <c r="Q297" s="355"/>
      <c r="R297" s="356"/>
      <c r="S297" s="356"/>
      <c r="T297" s="492"/>
    </row>
    <row r="298" spans="1:20" s="167" customFormat="1" ht="15" customHeight="1">
      <c r="A298" s="510"/>
      <c r="B298" s="145" t="s">
        <v>40</v>
      </c>
      <c r="C298" s="129" t="s">
        <v>203</v>
      </c>
      <c r="D298" s="6"/>
      <c r="E298" s="6">
        <v>654061</v>
      </c>
      <c r="F298" s="6">
        <v>0</v>
      </c>
      <c r="G298" s="6">
        <v>0</v>
      </c>
      <c r="H298" s="6">
        <v>1886648</v>
      </c>
      <c r="I298" s="6">
        <v>0</v>
      </c>
      <c r="J298" s="6">
        <v>0</v>
      </c>
      <c r="K298" s="130">
        <v>29951</v>
      </c>
      <c r="L298" s="130">
        <v>0</v>
      </c>
      <c r="M298" s="356">
        <f t="shared" si="63"/>
        <v>0</v>
      </c>
      <c r="N298" s="130">
        <f t="shared" si="65"/>
        <v>0</v>
      </c>
      <c r="O298" s="130">
        <v>0</v>
      </c>
      <c r="P298" s="354"/>
      <c r="Q298" s="355">
        <v>0</v>
      </c>
      <c r="R298" s="356"/>
      <c r="S298" s="356"/>
      <c r="T298" s="492"/>
    </row>
    <row r="299" spans="1:20" s="167" customFormat="1" ht="14.25" customHeight="1">
      <c r="A299" s="510"/>
      <c r="B299" s="145" t="s">
        <v>136</v>
      </c>
      <c r="C299" s="129" t="s">
        <v>208</v>
      </c>
      <c r="D299" s="6">
        <v>0</v>
      </c>
      <c r="E299" s="6">
        <v>257318</v>
      </c>
      <c r="F299" s="6">
        <v>0</v>
      </c>
      <c r="G299" s="6">
        <v>74165</v>
      </c>
      <c r="H299" s="6">
        <f>H300+H301+H302</f>
        <v>339218</v>
      </c>
      <c r="I299" s="6">
        <v>0</v>
      </c>
      <c r="J299" s="6">
        <v>0</v>
      </c>
      <c r="K299" s="130">
        <f>K300+K301</f>
        <v>91777</v>
      </c>
      <c r="L299" s="130">
        <f>L300+L301</f>
        <v>63095</v>
      </c>
      <c r="M299" s="356">
        <f t="shared" si="63"/>
        <v>0.6874816130403042</v>
      </c>
      <c r="N299" s="130">
        <f t="shared" si="65"/>
        <v>63095</v>
      </c>
      <c r="O299" s="130">
        <f>O300+O301</f>
        <v>0</v>
      </c>
      <c r="P299" s="354"/>
      <c r="Q299" s="358">
        <f>N299</f>
        <v>63095</v>
      </c>
      <c r="R299" s="356"/>
      <c r="S299" s="356"/>
      <c r="T299" s="492"/>
    </row>
    <row r="300" spans="1:20" s="167" customFormat="1" ht="13.5" customHeight="1">
      <c r="A300" s="510"/>
      <c r="B300" s="145"/>
      <c r="C300" s="129" t="s">
        <v>148</v>
      </c>
      <c r="D300" s="6"/>
      <c r="E300" s="6"/>
      <c r="F300" s="6"/>
      <c r="G300" s="6"/>
      <c r="H300" s="6">
        <v>227897</v>
      </c>
      <c r="I300" s="6">
        <v>0</v>
      </c>
      <c r="J300" s="6">
        <v>0</v>
      </c>
      <c r="K300" s="130">
        <v>56782</v>
      </c>
      <c r="L300" s="130">
        <v>12990</v>
      </c>
      <c r="M300" s="356">
        <f t="shared" si="63"/>
        <v>0.22876968053256314</v>
      </c>
      <c r="N300" s="130">
        <f t="shared" si="65"/>
        <v>12990</v>
      </c>
      <c r="O300" s="130">
        <v>0</v>
      </c>
      <c r="P300" s="354"/>
      <c r="Q300" s="358">
        <f>N300</f>
        <v>12990</v>
      </c>
      <c r="R300" s="356"/>
      <c r="S300" s="356"/>
      <c r="T300" s="492"/>
    </row>
    <row r="301" spans="1:20" s="167" customFormat="1" ht="14.25" customHeight="1">
      <c r="A301" s="510"/>
      <c r="B301" s="145"/>
      <c r="C301" s="129" t="s">
        <v>150</v>
      </c>
      <c r="D301" s="6"/>
      <c r="E301" s="6"/>
      <c r="F301" s="6"/>
      <c r="G301" s="6"/>
      <c r="H301" s="6">
        <v>98014</v>
      </c>
      <c r="I301" s="6">
        <v>0</v>
      </c>
      <c r="J301" s="6">
        <v>0</v>
      </c>
      <c r="K301" s="130">
        <v>34995</v>
      </c>
      <c r="L301" s="130">
        <v>50105</v>
      </c>
      <c r="M301" s="356">
        <f t="shared" si="63"/>
        <v>1.4317759679954278</v>
      </c>
      <c r="N301" s="130">
        <f t="shared" si="65"/>
        <v>50105</v>
      </c>
      <c r="O301" s="130">
        <v>0</v>
      </c>
      <c r="P301" s="354"/>
      <c r="Q301" s="358">
        <f>N301</f>
        <v>50105</v>
      </c>
      <c r="R301" s="356"/>
      <c r="S301" s="356"/>
      <c r="T301" s="492"/>
    </row>
    <row r="302" spans="1:20" s="167" customFormat="1" ht="13.5" customHeight="1" hidden="1">
      <c r="A302" s="510"/>
      <c r="B302" s="145"/>
      <c r="C302" s="6" t="s">
        <v>149</v>
      </c>
      <c r="D302" s="6"/>
      <c r="E302" s="6"/>
      <c r="F302" s="6"/>
      <c r="G302" s="6"/>
      <c r="H302" s="6">
        <v>13307</v>
      </c>
      <c r="I302" s="6">
        <v>0</v>
      </c>
      <c r="J302" s="6">
        <v>0</v>
      </c>
      <c r="K302" s="130">
        <v>1374594</v>
      </c>
      <c r="L302" s="130">
        <v>0</v>
      </c>
      <c r="M302" s="356">
        <f t="shared" si="63"/>
        <v>0</v>
      </c>
      <c r="N302" s="130"/>
      <c r="O302" s="130">
        <v>0</v>
      </c>
      <c r="P302" s="354">
        <f>L302</f>
        <v>0</v>
      </c>
      <c r="Q302" s="354">
        <v>0</v>
      </c>
      <c r="R302" s="359"/>
      <c r="S302" s="359"/>
      <c r="T302" s="497"/>
    </row>
    <row r="303" spans="1:20" s="167" customFormat="1" ht="39.75" customHeight="1" hidden="1">
      <c r="A303" s="510"/>
      <c r="B303" s="145"/>
      <c r="C303" s="7" t="s">
        <v>137</v>
      </c>
      <c r="D303" s="6"/>
      <c r="E303" s="6"/>
      <c r="F303" s="6"/>
      <c r="G303" s="6"/>
      <c r="H303" s="6">
        <v>0</v>
      </c>
      <c r="I303" s="6">
        <v>0</v>
      </c>
      <c r="J303" s="6">
        <v>0</v>
      </c>
      <c r="K303" s="130">
        <v>855</v>
      </c>
      <c r="L303" s="130"/>
      <c r="M303" s="356">
        <f t="shared" si="63"/>
        <v>0</v>
      </c>
      <c r="N303" s="130"/>
      <c r="O303" s="130">
        <v>0</v>
      </c>
      <c r="P303" s="354">
        <f>L303</f>
        <v>0</v>
      </c>
      <c r="Q303" s="354">
        <v>0</v>
      </c>
      <c r="R303" s="359"/>
      <c r="S303" s="359"/>
      <c r="T303" s="497"/>
    </row>
    <row r="304" spans="1:20" s="167" customFormat="1" ht="22.5" customHeight="1" hidden="1">
      <c r="A304" s="526" t="s">
        <v>209</v>
      </c>
      <c r="B304" s="527"/>
      <c r="C304" s="5" t="s">
        <v>210</v>
      </c>
      <c r="D304" s="5" t="e">
        <f>D305+D306+D307+D310+D319+D321+#REF!</f>
        <v>#REF!</v>
      </c>
      <c r="E304" s="5">
        <f>E305+E306+E307+E308+E309+E310+E311+E312+E313+E314+E315+E316+E317+E318+E319+E321</f>
        <v>2163559</v>
      </c>
      <c r="F304" s="5">
        <f>F305+F306+F307+F308+F309+F310+F311+F312+F313+F314+F315+F316+F317+F318+F319+F321</f>
        <v>0</v>
      </c>
      <c r="G304" s="5">
        <f>G305+G306+G307+G308+G309+G310+G311+G312+G313+G314+G315+G316+G317+G318+G319+G321</f>
        <v>0</v>
      </c>
      <c r="H304" s="6"/>
      <c r="I304" s="6"/>
      <c r="J304" s="6"/>
      <c r="K304" s="130">
        <v>87955</v>
      </c>
      <c r="L304" s="130"/>
      <c r="M304" s="356">
        <f t="shared" si="63"/>
        <v>0</v>
      </c>
      <c r="N304" s="130"/>
      <c r="O304" s="130">
        <v>0</v>
      </c>
      <c r="P304" s="354">
        <f aca="true" t="shared" si="66" ref="P304:P324">K304</f>
        <v>87955</v>
      </c>
      <c r="Q304" s="354">
        <v>0</v>
      </c>
      <c r="R304" s="359"/>
      <c r="S304" s="359"/>
      <c r="T304" s="497"/>
    </row>
    <row r="305" spans="1:20" s="167" customFormat="1" ht="21.75" customHeight="1" hidden="1">
      <c r="A305" s="526"/>
      <c r="B305" s="145" t="s">
        <v>2</v>
      </c>
      <c r="C305" s="7" t="s">
        <v>3</v>
      </c>
      <c r="D305" s="6">
        <v>2340654</v>
      </c>
      <c r="E305" s="6">
        <v>1129188</v>
      </c>
      <c r="F305" s="6">
        <v>0</v>
      </c>
      <c r="G305" s="6">
        <v>0</v>
      </c>
      <c r="H305" s="6"/>
      <c r="I305" s="6"/>
      <c r="J305" s="6"/>
      <c r="K305" s="130">
        <v>443742</v>
      </c>
      <c r="L305" s="130"/>
      <c r="M305" s="356">
        <f t="shared" si="63"/>
        <v>0</v>
      </c>
      <c r="N305" s="130"/>
      <c r="O305" s="130">
        <v>0</v>
      </c>
      <c r="P305" s="354">
        <f t="shared" si="66"/>
        <v>443742</v>
      </c>
      <c r="Q305" s="354">
        <v>0</v>
      </c>
      <c r="R305" s="359"/>
      <c r="S305" s="359"/>
      <c r="T305" s="497"/>
    </row>
    <row r="306" spans="1:20" s="167" customFormat="1" ht="21.75" customHeight="1" hidden="1">
      <c r="A306" s="526"/>
      <c r="B306" s="145" t="s">
        <v>6</v>
      </c>
      <c r="C306" s="7" t="s">
        <v>7</v>
      </c>
      <c r="D306" s="6">
        <v>166280</v>
      </c>
      <c r="E306" s="6">
        <v>211716</v>
      </c>
      <c r="F306" s="6">
        <v>0</v>
      </c>
      <c r="G306" s="6">
        <v>0</v>
      </c>
      <c r="H306" s="6"/>
      <c r="I306" s="6"/>
      <c r="J306" s="6"/>
      <c r="K306" s="130">
        <v>33919</v>
      </c>
      <c r="L306" s="130"/>
      <c r="M306" s="356">
        <f t="shared" si="63"/>
        <v>0</v>
      </c>
      <c r="N306" s="130"/>
      <c r="O306" s="130">
        <v>0</v>
      </c>
      <c r="P306" s="354">
        <f t="shared" si="66"/>
        <v>33919</v>
      </c>
      <c r="Q306" s="354">
        <v>0</v>
      </c>
      <c r="R306" s="359"/>
      <c r="S306" s="359"/>
      <c r="T306" s="497"/>
    </row>
    <row r="307" spans="1:20" s="167" customFormat="1" ht="20.25" customHeight="1" hidden="1">
      <c r="A307" s="526"/>
      <c r="B307" s="519" t="s">
        <v>56</v>
      </c>
      <c r="C307" s="7" t="s">
        <v>70</v>
      </c>
      <c r="D307" s="6">
        <v>456367</v>
      </c>
      <c r="E307" s="6">
        <v>235109</v>
      </c>
      <c r="F307" s="6">
        <v>0</v>
      </c>
      <c r="G307" s="6">
        <v>0</v>
      </c>
      <c r="H307" s="6"/>
      <c r="I307" s="6"/>
      <c r="J307" s="6"/>
      <c r="K307" s="130">
        <v>78364</v>
      </c>
      <c r="L307" s="130"/>
      <c r="M307" s="356">
        <f t="shared" si="63"/>
        <v>0</v>
      </c>
      <c r="N307" s="130"/>
      <c r="O307" s="130">
        <v>0</v>
      </c>
      <c r="P307" s="354">
        <f t="shared" si="66"/>
        <v>78364</v>
      </c>
      <c r="Q307" s="354">
        <v>0</v>
      </c>
      <c r="R307" s="359"/>
      <c r="S307" s="359"/>
      <c r="T307" s="497"/>
    </row>
    <row r="308" spans="1:20" s="167" customFormat="1" ht="22.5" customHeight="1" hidden="1">
      <c r="A308" s="526"/>
      <c r="B308" s="519" t="s">
        <v>8</v>
      </c>
      <c r="C308" s="7" t="s">
        <v>9</v>
      </c>
      <c r="D308" s="6"/>
      <c r="E308" s="6">
        <v>33406</v>
      </c>
      <c r="F308" s="6">
        <v>0</v>
      </c>
      <c r="G308" s="6">
        <v>0</v>
      </c>
      <c r="H308" s="14"/>
      <c r="I308" s="14"/>
      <c r="J308" s="14"/>
      <c r="K308" s="130">
        <v>10851</v>
      </c>
      <c r="L308" s="130"/>
      <c r="M308" s="356">
        <f t="shared" si="63"/>
        <v>0</v>
      </c>
      <c r="N308" s="130"/>
      <c r="O308" s="130">
        <v>0</v>
      </c>
      <c r="P308" s="354">
        <f t="shared" si="66"/>
        <v>10851</v>
      </c>
      <c r="Q308" s="354">
        <v>0</v>
      </c>
      <c r="R308" s="359"/>
      <c r="S308" s="359"/>
      <c r="T308" s="497"/>
    </row>
    <row r="309" spans="1:20" s="167" customFormat="1" ht="20.25" customHeight="1" hidden="1">
      <c r="A309" s="526"/>
      <c r="B309" s="519"/>
      <c r="C309" s="7" t="s">
        <v>47</v>
      </c>
      <c r="D309" s="6"/>
      <c r="E309" s="6">
        <v>1420</v>
      </c>
      <c r="F309" s="6">
        <v>0</v>
      </c>
      <c r="G309" s="6">
        <v>0</v>
      </c>
      <c r="H309" s="6"/>
      <c r="I309" s="6"/>
      <c r="J309" s="6"/>
      <c r="K309" s="130">
        <v>1600</v>
      </c>
      <c r="L309" s="130"/>
      <c r="M309" s="356">
        <f t="shared" si="63"/>
        <v>0</v>
      </c>
      <c r="N309" s="130"/>
      <c r="O309" s="130">
        <v>0</v>
      </c>
      <c r="P309" s="354">
        <f t="shared" si="66"/>
        <v>1600</v>
      </c>
      <c r="Q309" s="354">
        <v>0</v>
      </c>
      <c r="R309" s="359"/>
      <c r="S309" s="359"/>
      <c r="T309" s="497"/>
    </row>
    <row r="310" spans="1:20" s="167" customFormat="1" ht="18.75" customHeight="1" hidden="1">
      <c r="A310" s="526"/>
      <c r="B310" s="145" t="s">
        <v>910</v>
      </c>
      <c r="C310" s="6" t="s">
        <v>36</v>
      </c>
      <c r="D310" s="6">
        <v>637711</v>
      </c>
      <c r="E310" s="6">
        <v>1892</v>
      </c>
      <c r="F310" s="6">
        <v>0</v>
      </c>
      <c r="G310" s="6">
        <v>0</v>
      </c>
      <c r="H310" s="6"/>
      <c r="I310" s="6"/>
      <c r="J310" s="6"/>
      <c r="K310" s="130">
        <v>171891</v>
      </c>
      <c r="L310" s="130"/>
      <c r="M310" s="356">
        <f t="shared" si="63"/>
        <v>0</v>
      </c>
      <c r="N310" s="130"/>
      <c r="O310" s="130">
        <v>0</v>
      </c>
      <c r="P310" s="354">
        <f t="shared" si="66"/>
        <v>171891</v>
      </c>
      <c r="Q310" s="354">
        <v>0</v>
      </c>
      <c r="R310" s="359"/>
      <c r="S310" s="359"/>
      <c r="T310" s="497"/>
    </row>
    <row r="311" spans="1:20" s="167" customFormat="1" ht="18" customHeight="1" hidden="1">
      <c r="A311" s="526"/>
      <c r="B311" s="145" t="s">
        <v>10</v>
      </c>
      <c r="C311" s="6" t="s">
        <v>37</v>
      </c>
      <c r="D311" s="6"/>
      <c r="E311" s="6">
        <v>196582</v>
      </c>
      <c r="F311" s="6">
        <v>0</v>
      </c>
      <c r="G311" s="6">
        <v>0</v>
      </c>
      <c r="H311" s="6"/>
      <c r="I311" s="6"/>
      <c r="J311" s="6"/>
      <c r="K311" s="130">
        <v>65000</v>
      </c>
      <c r="L311" s="130"/>
      <c r="M311" s="356">
        <f t="shared" si="63"/>
        <v>0</v>
      </c>
      <c r="N311" s="130"/>
      <c r="O311" s="130">
        <v>0</v>
      </c>
      <c r="P311" s="354">
        <f t="shared" si="66"/>
        <v>65000</v>
      </c>
      <c r="Q311" s="354">
        <v>0</v>
      </c>
      <c r="R311" s="359"/>
      <c r="S311" s="359"/>
      <c r="T311" s="497"/>
    </row>
    <row r="312" spans="1:20" s="167" customFormat="1" ht="18.75" customHeight="1" hidden="1">
      <c r="A312" s="526"/>
      <c r="B312" s="145" t="s">
        <v>133</v>
      </c>
      <c r="C312" s="6" t="s">
        <v>211</v>
      </c>
      <c r="D312" s="6"/>
      <c r="E312" s="6">
        <v>2294</v>
      </c>
      <c r="F312" s="6">
        <v>0</v>
      </c>
      <c r="G312" s="6">
        <v>0</v>
      </c>
      <c r="H312" s="5"/>
      <c r="I312" s="5"/>
      <c r="J312" s="5"/>
      <c r="K312" s="134">
        <v>3600</v>
      </c>
      <c r="L312" s="134"/>
      <c r="M312" s="356">
        <f t="shared" si="63"/>
        <v>0</v>
      </c>
      <c r="N312" s="134"/>
      <c r="O312" s="130">
        <v>0</v>
      </c>
      <c r="P312" s="354">
        <f t="shared" si="66"/>
        <v>3600</v>
      </c>
      <c r="Q312" s="354">
        <v>0</v>
      </c>
      <c r="R312" s="359"/>
      <c r="S312" s="359"/>
      <c r="T312" s="497"/>
    </row>
    <row r="313" spans="1:20" s="167" customFormat="1" ht="18" customHeight="1" hidden="1">
      <c r="A313" s="526"/>
      <c r="B313" s="145" t="s">
        <v>12</v>
      </c>
      <c r="C313" s="6" t="s">
        <v>13</v>
      </c>
      <c r="D313" s="6"/>
      <c r="E313" s="6">
        <v>41877</v>
      </c>
      <c r="F313" s="6">
        <v>0</v>
      </c>
      <c r="G313" s="6">
        <v>0</v>
      </c>
      <c r="H313" s="6"/>
      <c r="I313" s="6"/>
      <c r="J313" s="6"/>
      <c r="K313" s="130">
        <v>88024</v>
      </c>
      <c r="L313" s="130"/>
      <c r="M313" s="356">
        <f t="shared" si="63"/>
        <v>0</v>
      </c>
      <c r="N313" s="130"/>
      <c r="O313" s="130">
        <v>0</v>
      </c>
      <c r="P313" s="354">
        <f t="shared" si="66"/>
        <v>88024</v>
      </c>
      <c r="Q313" s="354">
        <v>0</v>
      </c>
      <c r="R313" s="359"/>
      <c r="S313" s="359"/>
      <c r="T313" s="497"/>
    </row>
    <row r="314" spans="1:20" s="167" customFormat="1" ht="18.75" customHeight="1" hidden="1">
      <c r="A314" s="526"/>
      <c r="B314" s="145" t="s">
        <v>14</v>
      </c>
      <c r="C314" s="6" t="s">
        <v>15</v>
      </c>
      <c r="D314" s="6"/>
      <c r="E314" s="6">
        <v>2075</v>
      </c>
      <c r="F314" s="6">
        <v>0</v>
      </c>
      <c r="G314" s="6">
        <v>0</v>
      </c>
      <c r="H314" s="6"/>
      <c r="I314" s="6"/>
      <c r="J314" s="6"/>
      <c r="K314" s="130">
        <v>24000</v>
      </c>
      <c r="L314" s="130"/>
      <c r="M314" s="356">
        <f t="shared" si="63"/>
        <v>0</v>
      </c>
      <c r="N314" s="130"/>
      <c r="O314" s="130">
        <v>0</v>
      </c>
      <c r="P314" s="354">
        <f t="shared" si="66"/>
        <v>24000</v>
      </c>
      <c r="Q314" s="354">
        <v>0</v>
      </c>
      <c r="R314" s="359"/>
      <c r="S314" s="359"/>
      <c r="T314" s="497"/>
    </row>
    <row r="315" spans="1:20" s="167" customFormat="1" ht="18.75" customHeight="1" hidden="1">
      <c r="A315" s="526"/>
      <c r="B315" s="145" t="s">
        <v>16</v>
      </c>
      <c r="C315" s="6" t="s">
        <v>17</v>
      </c>
      <c r="D315" s="6"/>
      <c r="E315" s="6">
        <v>31387</v>
      </c>
      <c r="F315" s="6">
        <v>0</v>
      </c>
      <c r="G315" s="6">
        <v>0</v>
      </c>
      <c r="H315" s="6"/>
      <c r="I315" s="6"/>
      <c r="J315" s="6"/>
      <c r="K315" s="130">
        <v>28260</v>
      </c>
      <c r="L315" s="130"/>
      <c r="M315" s="356">
        <f t="shared" si="63"/>
        <v>0</v>
      </c>
      <c r="N315" s="130"/>
      <c r="O315" s="130">
        <v>0</v>
      </c>
      <c r="P315" s="354">
        <f t="shared" si="66"/>
        <v>28260</v>
      </c>
      <c r="Q315" s="354">
        <v>0</v>
      </c>
      <c r="R315" s="359"/>
      <c r="S315" s="359"/>
      <c r="T315" s="497"/>
    </row>
    <row r="316" spans="1:20" s="167" customFormat="1" ht="18.75" customHeight="1" hidden="1">
      <c r="A316" s="526"/>
      <c r="B316" s="145" t="s">
        <v>18</v>
      </c>
      <c r="C316" s="6" t="s">
        <v>212</v>
      </c>
      <c r="D316" s="6"/>
      <c r="E316" s="6">
        <v>3189</v>
      </c>
      <c r="F316" s="6">
        <v>0</v>
      </c>
      <c r="G316" s="6">
        <v>0</v>
      </c>
      <c r="H316" s="6"/>
      <c r="I316" s="6"/>
      <c r="J316" s="6"/>
      <c r="K316" s="130">
        <v>1908</v>
      </c>
      <c r="L316" s="130"/>
      <c r="M316" s="356">
        <f t="shared" si="63"/>
        <v>0</v>
      </c>
      <c r="N316" s="130"/>
      <c r="O316" s="130">
        <v>0</v>
      </c>
      <c r="P316" s="354">
        <f t="shared" si="66"/>
        <v>1908</v>
      </c>
      <c r="Q316" s="354">
        <v>0</v>
      </c>
      <c r="R316" s="359"/>
      <c r="S316" s="359"/>
      <c r="T316" s="497"/>
    </row>
    <row r="317" spans="1:20" s="167" customFormat="1" ht="18" customHeight="1" hidden="1">
      <c r="A317" s="526"/>
      <c r="B317" s="145" t="s">
        <v>20</v>
      </c>
      <c r="C317" s="6" t="s">
        <v>214</v>
      </c>
      <c r="D317" s="6"/>
      <c r="E317" s="6">
        <v>0</v>
      </c>
      <c r="F317" s="6">
        <v>0</v>
      </c>
      <c r="G317" s="6">
        <v>0</v>
      </c>
      <c r="H317" s="6"/>
      <c r="I317" s="6"/>
      <c r="J317" s="6"/>
      <c r="K317" s="130">
        <v>3420</v>
      </c>
      <c r="L317" s="130"/>
      <c r="M317" s="356">
        <f t="shared" si="63"/>
        <v>0</v>
      </c>
      <c r="N317" s="130"/>
      <c r="O317" s="130">
        <v>0</v>
      </c>
      <c r="P317" s="354">
        <f t="shared" si="66"/>
        <v>3420</v>
      </c>
      <c r="Q317" s="354">
        <v>0</v>
      </c>
      <c r="R317" s="359"/>
      <c r="S317" s="359"/>
      <c r="T317" s="497"/>
    </row>
    <row r="318" spans="1:20" s="167" customFormat="1" ht="18" customHeight="1" hidden="1">
      <c r="A318" s="526"/>
      <c r="B318" s="145" t="s">
        <v>22</v>
      </c>
      <c r="C318" s="6" t="s">
        <v>215</v>
      </c>
      <c r="D318" s="6"/>
      <c r="E318" s="6">
        <v>86736</v>
      </c>
      <c r="F318" s="6">
        <v>0</v>
      </c>
      <c r="G318" s="6">
        <v>0</v>
      </c>
      <c r="H318" s="6"/>
      <c r="I318" s="6"/>
      <c r="J318" s="6"/>
      <c r="K318" s="130">
        <v>600</v>
      </c>
      <c r="L318" s="130"/>
      <c r="M318" s="356">
        <f t="shared" si="63"/>
        <v>0</v>
      </c>
      <c r="N318" s="130"/>
      <c r="O318" s="130">
        <v>0</v>
      </c>
      <c r="P318" s="354">
        <f t="shared" si="66"/>
        <v>600</v>
      </c>
      <c r="Q318" s="354">
        <v>0</v>
      </c>
      <c r="R318" s="359"/>
      <c r="S318" s="359"/>
      <c r="T318" s="497"/>
    </row>
    <row r="319" spans="1:20" s="167" customFormat="1" ht="18" customHeight="1" hidden="1">
      <c r="A319" s="526"/>
      <c r="B319" s="145" t="s">
        <v>136</v>
      </c>
      <c r="C319" s="7" t="s">
        <v>216</v>
      </c>
      <c r="D319" s="6">
        <f>D320</f>
        <v>496267</v>
      </c>
      <c r="E319" s="14">
        <v>136749</v>
      </c>
      <c r="F319" s="14">
        <f>F320</f>
        <v>0</v>
      </c>
      <c r="G319" s="14">
        <v>0</v>
      </c>
      <c r="H319" s="6"/>
      <c r="I319" s="6"/>
      <c r="J319" s="6"/>
      <c r="K319" s="130">
        <v>31130</v>
      </c>
      <c r="L319" s="130"/>
      <c r="M319" s="356">
        <f t="shared" si="63"/>
        <v>0</v>
      </c>
      <c r="N319" s="130"/>
      <c r="O319" s="130">
        <v>0</v>
      </c>
      <c r="P319" s="354">
        <f t="shared" si="66"/>
        <v>31130</v>
      </c>
      <c r="Q319" s="354">
        <v>0</v>
      </c>
      <c r="R319" s="359"/>
      <c r="S319" s="359"/>
      <c r="T319" s="497"/>
    </row>
    <row r="320" spans="1:20" s="167" customFormat="1" ht="17.25" customHeight="1" hidden="1">
      <c r="A320" s="526"/>
      <c r="B320" s="145"/>
      <c r="C320" s="6" t="s">
        <v>148</v>
      </c>
      <c r="D320" s="6">
        <v>496267</v>
      </c>
      <c r="E320" s="6">
        <v>136749</v>
      </c>
      <c r="F320" s="6">
        <v>0</v>
      </c>
      <c r="G320" s="6">
        <v>0</v>
      </c>
      <c r="H320" s="6"/>
      <c r="I320" s="6"/>
      <c r="J320" s="6"/>
      <c r="K320" s="130">
        <v>299475</v>
      </c>
      <c r="L320" s="130"/>
      <c r="M320" s="356">
        <f t="shared" si="63"/>
        <v>0</v>
      </c>
      <c r="N320" s="130"/>
      <c r="O320" s="130">
        <v>0</v>
      </c>
      <c r="P320" s="354">
        <f t="shared" si="66"/>
        <v>299475</v>
      </c>
      <c r="Q320" s="354">
        <v>0</v>
      </c>
      <c r="R320" s="359"/>
      <c r="S320" s="359"/>
      <c r="T320" s="497"/>
    </row>
    <row r="321" spans="1:20" s="167" customFormat="1" ht="13.5" customHeight="1" hidden="1">
      <c r="A321" s="526"/>
      <c r="B321" s="145" t="s">
        <v>40</v>
      </c>
      <c r="C321" s="6" t="s">
        <v>203</v>
      </c>
      <c r="D321" s="6">
        <v>55041</v>
      </c>
      <c r="E321" s="6">
        <v>49939</v>
      </c>
      <c r="F321" s="6">
        <v>0</v>
      </c>
      <c r="G321" s="6">
        <v>0</v>
      </c>
      <c r="H321" s="6"/>
      <c r="I321" s="6"/>
      <c r="J321" s="6"/>
      <c r="K321" s="130">
        <v>1056193</v>
      </c>
      <c r="L321" s="130"/>
      <c r="M321" s="356">
        <f t="shared" si="63"/>
        <v>0</v>
      </c>
      <c r="N321" s="130"/>
      <c r="O321" s="130">
        <v>0</v>
      </c>
      <c r="P321" s="354">
        <f t="shared" si="66"/>
        <v>1056193</v>
      </c>
      <c r="Q321" s="354">
        <v>0</v>
      </c>
      <c r="R321" s="359"/>
      <c r="S321" s="359"/>
      <c r="T321" s="497"/>
    </row>
    <row r="322" spans="1:20" s="167" customFormat="1" ht="14.25" customHeight="1" hidden="1">
      <c r="A322" s="526"/>
      <c r="B322" s="145" t="s">
        <v>217</v>
      </c>
      <c r="C322" s="7" t="s">
        <v>218</v>
      </c>
      <c r="D322" s="6"/>
      <c r="E322" s="6">
        <v>0</v>
      </c>
      <c r="F322" s="6">
        <v>0</v>
      </c>
      <c r="G322" s="6">
        <v>0</v>
      </c>
      <c r="H322" s="6"/>
      <c r="I322" s="6"/>
      <c r="J322" s="6"/>
      <c r="K322" s="130">
        <v>368990</v>
      </c>
      <c r="L322" s="130"/>
      <c r="M322" s="356">
        <f t="shared" si="63"/>
        <v>0</v>
      </c>
      <c r="N322" s="130"/>
      <c r="O322" s="130">
        <v>0</v>
      </c>
      <c r="P322" s="354">
        <f t="shared" si="66"/>
        <v>368990</v>
      </c>
      <c r="Q322" s="354">
        <v>0</v>
      </c>
      <c r="R322" s="359"/>
      <c r="S322" s="359"/>
      <c r="T322" s="497"/>
    </row>
    <row r="323" spans="1:20" s="167" customFormat="1" ht="17.25" customHeight="1" hidden="1">
      <c r="A323" s="526"/>
      <c r="B323" s="145" t="s">
        <v>116</v>
      </c>
      <c r="C323" s="7" t="s">
        <v>776</v>
      </c>
      <c r="D323" s="6"/>
      <c r="E323" s="6"/>
      <c r="F323" s="6"/>
      <c r="G323" s="6"/>
      <c r="H323" s="6">
        <v>0</v>
      </c>
      <c r="I323" s="6">
        <v>0</v>
      </c>
      <c r="J323" s="6">
        <v>0</v>
      </c>
      <c r="K323" s="130">
        <v>30088</v>
      </c>
      <c r="L323" s="130"/>
      <c r="M323" s="356">
        <f t="shared" si="63"/>
        <v>0</v>
      </c>
      <c r="N323" s="130"/>
      <c r="O323" s="130">
        <v>0</v>
      </c>
      <c r="P323" s="354">
        <f t="shared" si="66"/>
        <v>30088</v>
      </c>
      <c r="Q323" s="354">
        <v>0</v>
      </c>
      <c r="R323" s="359"/>
      <c r="S323" s="359"/>
      <c r="T323" s="497"/>
    </row>
    <row r="324" spans="1:20" s="167" customFormat="1" ht="17.25" customHeight="1" hidden="1">
      <c r="A324" s="526"/>
      <c r="B324" s="145" t="s">
        <v>16</v>
      </c>
      <c r="C324" s="7" t="s">
        <v>99</v>
      </c>
      <c r="D324" s="6"/>
      <c r="E324" s="6"/>
      <c r="F324" s="6"/>
      <c r="G324" s="6"/>
      <c r="H324" s="6">
        <v>0</v>
      </c>
      <c r="I324" s="6">
        <v>0</v>
      </c>
      <c r="J324" s="6">
        <v>0</v>
      </c>
      <c r="K324" s="130">
        <v>68809</v>
      </c>
      <c r="L324" s="130"/>
      <c r="M324" s="356">
        <f t="shared" si="63"/>
        <v>0</v>
      </c>
      <c r="N324" s="130"/>
      <c r="O324" s="130">
        <v>0</v>
      </c>
      <c r="P324" s="354">
        <f t="shared" si="66"/>
        <v>68809</v>
      </c>
      <c r="Q324" s="354">
        <v>0</v>
      </c>
      <c r="R324" s="359"/>
      <c r="S324" s="359"/>
      <c r="T324" s="497"/>
    </row>
    <row r="325" spans="1:20" s="167" customFormat="1" ht="26.25" customHeight="1" hidden="1">
      <c r="A325" s="516" t="s">
        <v>219</v>
      </c>
      <c r="B325" s="145"/>
      <c r="C325" s="4" t="s">
        <v>220</v>
      </c>
      <c r="D325" s="5" t="e">
        <f>D326+#REF!+D327+D329+D334</f>
        <v>#REF!</v>
      </c>
      <c r="E325" s="5" t="e">
        <f>E326+#REF!+E327+E328+E329+E334</f>
        <v>#REF!</v>
      </c>
      <c r="F325" s="5" t="e">
        <f>F326+#REF!+F327+F328+F329+F334+F335+F336+F337</f>
        <v>#REF!</v>
      </c>
      <c r="G325" s="5" t="e">
        <f>G326+#REF!+G327+G328+G329+G334</f>
        <v>#REF!</v>
      </c>
      <c r="H325" s="5">
        <f>H326+H327+H328+H330+H334</f>
        <v>0</v>
      </c>
      <c r="I325" s="5">
        <f>I326+I327+I328+I330+I334</f>
        <v>0</v>
      </c>
      <c r="J325" s="5">
        <f>J326+J327+J328+J330+J334</f>
        <v>0</v>
      </c>
      <c r="K325" s="134">
        <v>9510</v>
      </c>
      <c r="L325" s="134"/>
      <c r="M325" s="356">
        <f t="shared" si="63"/>
        <v>0</v>
      </c>
      <c r="N325" s="134"/>
      <c r="O325" s="134">
        <f>O326+O327+O328+O330+O334</f>
        <v>0</v>
      </c>
      <c r="P325" s="134">
        <f>P326+P327+P328+P330+P334</f>
        <v>0</v>
      </c>
      <c r="Q325" s="134">
        <f>Q326+Q327+Q328+Q330+Q334</f>
        <v>0</v>
      </c>
      <c r="R325" s="359"/>
      <c r="S325" s="359"/>
      <c r="T325" s="497"/>
    </row>
    <row r="326" spans="1:20" s="167" customFormat="1" ht="21.75" customHeight="1" hidden="1">
      <c r="A326" s="657"/>
      <c r="B326" s="145" t="s">
        <v>2</v>
      </c>
      <c r="C326" s="7" t="s">
        <v>3</v>
      </c>
      <c r="D326" s="6">
        <v>0</v>
      </c>
      <c r="E326" s="6">
        <v>13764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130">
        <v>172769</v>
      </c>
      <c r="L326" s="130"/>
      <c r="M326" s="356">
        <f t="shared" si="63"/>
        <v>0</v>
      </c>
      <c r="N326" s="130"/>
      <c r="O326" s="130">
        <v>0</v>
      </c>
      <c r="P326" s="130">
        <v>0</v>
      </c>
      <c r="Q326" s="130">
        <v>0</v>
      </c>
      <c r="R326" s="359"/>
      <c r="S326" s="359"/>
      <c r="T326" s="497"/>
    </row>
    <row r="327" spans="1:20" s="167" customFormat="1" ht="16.5" customHeight="1" hidden="1">
      <c r="A327" s="657"/>
      <c r="B327" s="519" t="s">
        <v>56</v>
      </c>
      <c r="C327" s="7" t="s">
        <v>70</v>
      </c>
      <c r="D327" s="6">
        <v>0</v>
      </c>
      <c r="E327" s="6">
        <v>2430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130">
        <v>2000</v>
      </c>
      <c r="L327" s="130"/>
      <c r="M327" s="356">
        <f t="shared" si="63"/>
        <v>0</v>
      </c>
      <c r="N327" s="130"/>
      <c r="O327" s="130">
        <v>0</v>
      </c>
      <c r="P327" s="130">
        <v>0</v>
      </c>
      <c r="Q327" s="130">
        <v>0</v>
      </c>
      <c r="R327" s="359"/>
      <c r="S327" s="359"/>
      <c r="T327" s="497"/>
    </row>
    <row r="328" spans="1:20" s="167" customFormat="1" ht="21" customHeight="1" hidden="1">
      <c r="A328" s="657"/>
      <c r="B328" s="519" t="s">
        <v>8</v>
      </c>
      <c r="C328" s="7" t="s">
        <v>9</v>
      </c>
      <c r="D328" s="6"/>
      <c r="E328" s="6">
        <v>376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130">
        <v>10500</v>
      </c>
      <c r="L328" s="130"/>
      <c r="M328" s="356">
        <f t="shared" si="63"/>
        <v>0</v>
      </c>
      <c r="N328" s="130"/>
      <c r="O328" s="130">
        <v>0</v>
      </c>
      <c r="P328" s="130">
        <v>0</v>
      </c>
      <c r="Q328" s="130">
        <v>0</v>
      </c>
      <c r="R328" s="359"/>
      <c r="S328" s="359"/>
      <c r="T328" s="497"/>
    </row>
    <row r="329" spans="1:20" s="167" customFormat="1" ht="20.25" customHeight="1" hidden="1">
      <c r="A329" s="657"/>
      <c r="B329" s="145"/>
      <c r="C329" s="6" t="s">
        <v>47</v>
      </c>
      <c r="D329" s="6">
        <v>0</v>
      </c>
      <c r="E329" s="6">
        <v>1100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130">
        <v>70000</v>
      </c>
      <c r="L329" s="130"/>
      <c r="M329" s="356">
        <f t="shared" si="63"/>
        <v>0</v>
      </c>
      <c r="N329" s="130"/>
      <c r="O329" s="130">
        <v>0</v>
      </c>
      <c r="P329" s="130">
        <v>0</v>
      </c>
      <c r="Q329" s="130">
        <v>0</v>
      </c>
      <c r="R329" s="359"/>
      <c r="S329" s="359"/>
      <c r="T329" s="497"/>
    </row>
    <row r="330" spans="1:20" s="167" customFormat="1" ht="16.5" customHeight="1" hidden="1">
      <c r="A330" s="510"/>
      <c r="B330" s="145" t="s">
        <v>22</v>
      </c>
      <c r="C330" s="6" t="s">
        <v>23</v>
      </c>
      <c r="D330" s="6"/>
      <c r="E330" s="6"/>
      <c r="F330" s="6"/>
      <c r="G330" s="6"/>
      <c r="H330" s="6">
        <v>0</v>
      </c>
      <c r="I330" s="6">
        <v>0</v>
      </c>
      <c r="J330" s="6">
        <v>0</v>
      </c>
      <c r="K330" s="130">
        <v>25000</v>
      </c>
      <c r="L330" s="130"/>
      <c r="M330" s="356">
        <f aca="true" t="shared" si="67" ref="M330:M338">L330/K330</f>
        <v>0</v>
      </c>
      <c r="N330" s="130"/>
      <c r="O330" s="130">
        <v>0</v>
      </c>
      <c r="P330" s="130">
        <v>0</v>
      </c>
      <c r="Q330" s="130">
        <v>0</v>
      </c>
      <c r="R330" s="359"/>
      <c r="S330" s="359"/>
      <c r="T330" s="497"/>
    </row>
    <row r="331" spans="1:20" s="167" customFormat="1" ht="18.75" customHeight="1" hidden="1">
      <c r="A331" s="510"/>
      <c r="B331" s="145"/>
      <c r="C331" s="6"/>
      <c r="D331" s="6"/>
      <c r="E331" s="6"/>
      <c r="F331" s="6"/>
      <c r="G331" s="6"/>
      <c r="H331" s="6">
        <v>0</v>
      </c>
      <c r="I331" s="6">
        <v>0</v>
      </c>
      <c r="J331" s="6">
        <v>0</v>
      </c>
      <c r="K331" s="130">
        <v>800</v>
      </c>
      <c r="L331" s="130"/>
      <c r="M331" s="356">
        <f t="shared" si="67"/>
        <v>0</v>
      </c>
      <c r="N331" s="130"/>
      <c r="O331" s="130">
        <v>0</v>
      </c>
      <c r="P331" s="130">
        <v>0</v>
      </c>
      <c r="Q331" s="130">
        <v>0</v>
      </c>
      <c r="R331" s="359"/>
      <c r="S331" s="359"/>
      <c r="T331" s="497"/>
    </row>
    <row r="332" spans="1:20" s="167" customFormat="1" ht="16.5" customHeight="1" hidden="1">
      <c r="A332" s="510"/>
      <c r="B332" s="145"/>
      <c r="C332" s="6"/>
      <c r="D332" s="6"/>
      <c r="E332" s="6"/>
      <c r="F332" s="6"/>
      <c r="G332" s="6"/>
      <c r="H332" s="6">
        <v>0</v>
      </c>
      <c r="I332" s="6">
        <v>0</v>
      </c>
      <c r="J332" s="6">
        <v>0</v>
      </c>
      <c r="K332" s="130">
        <v>199000</v>
      </c>
      <c r="L332" s="130"/>
      <c r="M332" s="356">
        <f t="shared" si="67"/>
        <v>0</v>
      </c>
      <c r="N332" s="130"/>
      <c r="O332" s="130">
        <v>0</v>
      </c>
      <c r="P332" s="130">
        <v>0</v>
      </c>
      <c r="Q332" s="130">
        <v>0</v>
      </c>
      <c r="R332" s="359"/>
      <c r="S332" s="359"/>
      <c r="T332" s="497"/>
    </row>
    <row r="333" spans="1:20" s="167" customFormat="1" ht="19.5" customHeight="1" hidden="1">
      <c r="A333" s="510"/>
      <c r="B333" s="145"/>
      <c r="C333" s="6"/>
      <c r="D333" s="6"/>
      <c r="E333" s="6"/>
      <c r="F333" s="6"/>
      <c r="G333" s="6"/>
      <c r="H333" s="6">
        <v>0</v>
      </c>
      <c r="I333" s="6">
        <v>0</v>
      </c>
      <c r="J333" s="6">
        <v>0</v>
      </c>
      <c r="K333" s="130">
        <v>800</v>
      </c>
      <c r="L333" s="130"/>
      <c r="M333" s="356">
        <f t="shared" si="67"/>
        <v>0</v>
      </c>
      <c r="N333" s="130"/>
      <c r="O333" s="130">
        <v>0</v>
      </c>
      <c r="P333" s="130">
        <v>0</v>
      </c>
      <c r="Q333" s="130">
        <v>0</v>
      </c>
      <c r="R333" s="359"/>
      <c r="S333" s="359"/>
      <c r="T333" s="497"/>
    </row>
    <row r="334" spans="1:20" s="167" customFormat="1" ht="25.5" customHeight="1" hidden="1">
      <c r="A334" s="510"/>
      <c r="B334" s="145" t="s">
        <v>136</v>
      </c>
      <c r="C334" s="7" t="s">
        <v>221</v>
      </c>
      <c r="D334" s="6" t="e">
        <f>D335+#REF!+#REF!</f>
        <v>#REF!</v>
      </c>
      <c r="E334" s="6">
        <f>E335+E336+E337</f>
        <v>121567</v>
      </c>
      <c r="F334" s="6">
        <f>F335+F336+F337</f>
        <v>0</v>
      </c>
      <c r="G334" s="6">
        <f>G335+G336+G337</f>
        <v>29180</v>
      </c>
      <c r="H334" s="6">
        <v>0</v>
      </c>
      <c r="I334" s="6">
        <v>0</v>
      </c>
      <c r="J334" s="6">
        <v>0</v>
      </c>
      <c r="K334" s="130">
        <v>16941</v>
      </c>
      <c r="L334" s="130"/>
      <c r="M334" s="356">
        <f t="shared" si="67"/>
        <v>0</v>
      </c>
      <c r="N334" s="130"/>
      <c r="O334" s="130">
        <v>0</v>
      </c>
      <c r="P334" s="130">
        <v>0</v>
      </c>
      <c r="Q334" s="130">
        <v>0</v>
      </c>
      <c r="R334" s="359"/>
      <c r="S334" s="359"/>
      <c r="T334" s="497"/>
    </row>
    <row r="335" spans="1:20" s="167" customFormat="1" ht="18.75" customHeight="1" hidden="1">
      <c r="A335" s="510"/>
      <c r="B335" s="145"/>
      <c r="C335" s="20" t="s">
        <v>148</v>
      </c>
      <c r="D335" s="6">
        <v>0</v>
      </c>
      <c r="E335" s="6">
        <v>49189</v>
      </c>
      <c r="F335" s="6">
        <v>0</v>
      </c>
      <c r="G335" s="6">
        <v>4159</v>
      </c>
      <c r="H335" s="6">
        <v>0</v>
      </c>
      <c r="I335" s="6">
        <v>0</v>
      </c>
      <c r="J335" s="6">
        <v>0</v>
      </c>
      <c r="K335" s="130">
        <v>2372</v>
      </c>
      <c r="L335" s="130"/>
      <c r="M335" s="356">
        <f t="shared" si="67"/>
        <v>0</v>
      </c>
      <c r="N335" s="130"/>
      <c r="O335" s="130">
        <v>0</v>
      </c>
      <c r="P335" s="130">
        <v>0</v>
      </c>
      <c r="Q335" s="130">
        <v>0</v>
      </c>
      <c r="R335" s="359"/>
      <c r="S335" s="359"/>
      <c r="T335" s="497"/>
    </row>
    <row r="336" spans="1:20" s="167" customFormat="1" ht="18" customHeight="1" hidden="1">
      <c r="A336" s="510"/>
      <c r="B336" s="145"/>
      <c r="C336" s="20" t="s">
        <v>149</v>
      </c>
      <c r="D336" s="6"/>
      <c r="E336" s="6">
        <v>38942</v>
      </c>
      <c r="F336" s="6">
        <v>0</v>
      </c>
      <c r="G336" s="6">
        <v>3187</v>
      </c>
      <c r="H336" s="6">
        <v>0</v>
      </c>
      <c r="I336" s="6">
        <v>0</v>
      </c>
      <c r="J336" s="6">
        <v>0</v>
      </c>
      <c r="K336" s="130">
        <v>426</v>
      </c>
      <c r="L336" s="130"/>
      <c r="M336" s="356">
        <f t="shared" si="67"/>
        <v>0</v>
      </c>
      <c r="N336" s="130"/>
      <c r="O336" s="130">
        <v>0</v>
      </c>
      <c r="P336" s="130">
        <v>0</v>
      </c>
      <c r="Q336" s="130">
        <v>0</v>
      </c>
      <c r="R336" s="359"/>
      <c r="S336" s="359"/>
      <c r="T336" s="497"/>
    </row>
    <row r="337" spans="1:20" s="167" customFormat="1" ht="15" customHeight="1" hidden="1">
      <c r="A337" s="510"/>
      <c r="B337" s="145"/>
      <c r="C337" s="20" t="s">
        <v>222</v>
      </c>
      <c r="D337" s="6"/>
      <c r="E337" s="6">
        <v>33436</v>
      </c>
      <c r="F337" s="6">
        <v>0</v>
      </c>
      <c r="G337" s="6">
        <v>21834</v>
      </c>
      <c r="H337" s="6"/>
      <c r="I337" s="6"/>
      <c r="J337" s="6"/>
      <c r="K337" s="130">
        <v>73188</v>
      </c>
      <c r="L337" s="130"/>
      <c r="M337" s="356">
        <f t="shared" si="67"/>
        <v>0</v>
      </c>
      <c r="N337" s="130"/>
      <c r="O337" s="130">
        <v>0</v>
      </c>
      <c r="P337" s="354">
        <f>H337</f>
        <v>0</v>
      </c>
      <c r="Q337" s="354">
        <v>0</v>
      </c>
      <c r="R337" s="359"/>
      <c r="S337" s="359"/>
      <c r="T337" s="497"/>
    </row>
    <row r="338" spans="1:20" s="167" customFormat="1" ht="17.25" customHeight="1">
      <c r="A338" s="508" t="s">
        <v>223</v>
      </c>
      <c r="B338" s="514"/>
      <c r="C338" s="326" t="s">
        <v>224</v>
      </c>
      <c r="D338" s="326">
        <f>D339+D340+D341+D343</f>
        <v>181894</v>
      </c>
      <c r="E338" s="326">
        <f>E339+E340+E341+E342+E343+E348</f>
        <v>139815</v>
      </c>
      <c r="F338" s="326">
        <f>F339+F340+F341+F342+F343+F348</f>
        <v>0</v>
      </c>
      <c r="G338" s="326">
        <f>G339+G340+G341+G342+G343+G348</f>
        <v>0</v>
      </c>
      <c r="H338" s="326">
        <f>H339+H340+H341+H342+H343+H348+H350+H346</f>
        <v>283956</v>
      </c>
      <c r="I338" s="326">
        <f>I339+I340+I341+I342+I343+I348+I350+I346</f>
        <v>0</v>
      </c>
      <c r="J338" s="326">
        <f>J339+J340+J341+J342+J343+J348+J350+J346</f>
        <v>0</v>
      </c>
      <c r="K338" s="353">
        <f>SUM(K339:K350)</f>
        <v>921609</v>
      </c>
      <c r="L338" s="353">
        <f>SUM(L339:L350)</f>
        <v>1223716</v>
      </c>
      <c r="M338" s="539">
        <f t="shared" si="67"/>
        <v>1.3278038734430762</v>
      </c>
      <c r="N338" s="353">
        <f aca="true" t="shared" si="68" ref="N338:T338">SUM(N339:N350)</f>
        <v>1223716</v>
      </c>
      <c r="O338" s="353">
        <f t="shared" si="68"/>
        <v>750833</v>
      </c>
      <c r="P338" s="353">
        <f t="shared" si="68"/>
        <v>149340</v>
      </c>
      <c r="Q338" s="353">
        <f t="shared" si="68"/>
        <v>253135</v>
      </c>
      <c r="R338" s="353">
        <f t="shared" si="68"/>
        <v>0</v>
      </c>
      <c r="S338" s="353">
        <f t="shared" si="68"/>
        <v>0</v>
      </c>
      <c r="T338" s="491">
        <f t="shared" si="68"/>
        <v>0</v>
      </c>
    </row>
    <row r="339" spans="1:20" s="167" customFormat="1" ht="16.5" customHeight="1">
      <c r="A339" s="526"/>
      <c r="B339" s="145" t="s">
        <v>2</v>
      </c>
      <c r="C339" s="129" t="s">
        <v>397</v>
      </c>
      <c r="D339" s="6">
        <v>134523</v>
      </c>
      <c r="E339" s="6">
        <v>97179</v>
      </c>
      <c r="F339" s="6">
        <v>0</v>
      </c>
      <c r="G339" s="6">
        <v>0</v>
      </c>
      <c r="H339" s="6">
        <v>148200</v>
      </c>
      <c r="I339" s="6">
        <v>0</v>
      </c>
      <c r="J339" s="6">
        <v>0</v>
      </c>
      <c r="K339" s="130">
        <v>569204</v>
      </c>
      <c r="L339" s="130">
        <v>689348</v>
      </c>
      <c r="M339" s="356">
        <f aca="true" t="shared" si="69" ref="M339:M393">L339/K339</f>
        <v>1.2110737099528464</v>
      </c>
      <c r="N339" s="130">
        <f>L339</f>
        <v>689348</v>
      </c>
      <c r="O339" s="130">
        <f>N339</f>
        <v>689348</v>
      </c>
      <c r="P339" s="354"/>
      <c r="Q339" s="355">
        <v>0</v>
      </c>
      <c r="R339" s="356"/>
      <c r="S339" s="356"/>
      <c r="T339" s="492"/>
    </row>
    <row r="340" spans="1:20" s="167" customFormat="1" ht="16.5" customHeight="1">
      <c r="A340" s="526"/>
      <c r="B340" s="145" t="s">
        <v>6</v>
      </c>
      <c r="C340" s="129" t="s">
        <v>7</v>
      </c>
      <c r="D340" s="6">
        <v>12439</v>
      </c>
      <c r="E340" s="6">
        <v>9136</v>
      </c>
      <c r="F340" s="6">
        <v>0</v>
      </c>
      <c r="G340" s="6">
        <v>0</v>
      </c>
      <c r="H340" s="6">
        <v>8185</v>
      </c>
      <c r="I340" s="6">
        <v>0</v>
      </c>
      <c r="J340" s="6">
        <v>0</v>
      </c>
      <c r="K340" s="130">
        <v>31160</v>
      </c>
      <c r="L340" s="130">
        <v>61485</v>
      </c>
      <c r="M340" s="356">
        <f t="shared" si="69"/>
        <v>1.9732028241335045</v>
      </c>
      <c r="N340" s="130">
        <f aca="true" t="shared" si="70" ref="N340:N350">L340</f>
        <v>61485</v>
      </c>
      <c r="O340" s="130">
        <f>N340</f>
        <v>61485</v>
      </c>
      <c r="P340" s="354"/>
      <c r="Q340" s="355">
        <v>0</v>
      </c>
      <c r="R340" s="356"/>
      <c r="S340" s="356"/>
      <c r="T340" s="492"/>
    </row>
    <row r="341" spans="1:20" s="167" customFormat="1" ht="16.5" customHeight="1">
      <c r="A341" s="526"/>
      <c r="B341" s="519" t="s">
        <v>56</v>
      </c>
      <c r="C341" s="129" t="s">
        <v>70</v>
      </c>
      <c r="D341" s="6">
        <v>28542</v>
      </c>
      <c r="E341" s="6">
        <v>18746</v>
      </c>
      <c r="F341" s="6">
        <v>0</v>
      </c>
      <c r="G341" s="6">
        <v>0</v>
      </c>
      <c r="H341" s="14">
        <v>27400</v>
      </c>
      <c r="I341" s="6">
        <v>0</v>
      </c>
      <c r="J341" s="6">
        <v>0</v>
      </c>
      <c r="K341" s="130">
        <v>110221</v>
      </c>
      <c r="L341" s="130">
        <v>130945</v>
      </c>
      <c r="M341" s="356">
        <f t="shared" si="69"/>
        <v>1.1880222462144236</v>
      </c>
      <c r="N341" s="130">
        <f t="shared" si="70"/>
        <v>130945</v>
      </c>
      <c r="O341" s="130">
        <v>0</v>
      </c>
      <c r="P341" s="354">
        <f>N341</f>
        <v>130945</v>
      </c>
      <c r="Q341" s="355"/>
      <c r="R341" s="356"/>
      <c r="S341" s="356"/>
      <c r="T341" s="492"/>
    </row>
    <row r="342" spans="1:20" s="167" customFormat="1" ht="16.5" customHeight="1">
      <c r="A342" s="526"/>
      <c r="B342" s="519" t="s">
        <v>8</v>
      </c>
      <c r="C342" s="129" t="s">
        <v>9</v>
      </c>
      <c r="D342" s="6"/>
      <c r="E342" s="6">
        <v>2604</v>
      </c>
      <c r="F342" s="6">
        <v>0</v>
      </c>
      <c r="G342" s="6">
        <v>0</v>
      </c>
      <c r="H342" s="14">
        <v>3760</v>
      </c>
      <c r="I342" s="6">
        <v>0</v>
      </c>
      <c r="J342" s="6">
        <v>0</v>
      </c>
      <c r="K342" s="130">
        <v>14790</v>
      </c>
      <c r="L342" s="130">
        <v>18395</v>
      </c>
      <c r="M342" s="356">
        <f t="shared" si="69"/>
        <v>1.2437457741717377</v>
      </c>
      <c r="N342" s="130">
        <f t="shared" si="70"/>
        <v>18395</v>
      </c>
      <c r="O342" s="130">
        <v>0</v>
      </c>
      <c r="P342" s="354">
        <f>N342</f>
        <v>18395</v>
      </c>
      <c r="Q342" s="355"/>
      <c r="R342" s="356"/>
      <c r="S342" s="356"/>
      <c r="T342" s="492"/>
    </row>
    <row r="343" spans="1:20" s="167" customFormat="1" ht="16.5" customHeight="1">
      <c r="A343" s="526"/>
      <c r="B343" s="145" t="s">
        <v>10</v>
      </c>
      <c r="C343" s="130" t="s">
        <v>37</v>
      </c>
      <c r="D343" s="6">
        <v>6390</v>
      </c>
      <c r="E343" s="6">
        <v>5029</v>
      </c>
      <c r="F343" s="6">
        <v>0</v>
      </c>
      <c r="G343" s="6">
        <v>0</v>
      </c>
      <c r="H343" s="14">
        <v>400</v>
      </c>
      <c r="I343" s="6">
        <v>0</v>
      </c>
      <c r="J343" s="6">
        <v>0</v>
      </c>
      <c r="K343" s="130">
        <v>21922</v>
      </c>
      <c r="L343" s="130">
        <v>13300</v>
      </c>
      <c r="M343" s="356">
        <f t="shared" si="69"/>
        <v>0.6066964693002463</v>
      </c>
      <c r="N343" s="130">
        <f t="shared" si="70"/>
        <v>13300</v>
      </c>
      <c r="O343" s="130">
        <v>0</v>
      </c>
      <c r="P343" s="354"/>
      <c r="Q343" s="355">
        <v>0</v>
      </c>
      <c r="R343" s="356"/>
      <c r="S343" s="356"/>
      <c r="T343" s="492"/>
    </row>
    <row r="344" spans="1:20" s="167" customFormat="1" ht="16.5" customHeight="1">
      <c r="A344" s="526"/>
      <c r="B344" s="145" t="s">
        <v>12</v>
      </c>
      <c r="C344" s="130" t="s">
        <v>13</v>
      </c>
      <c r="D344" s="6"/>
      <c r="E344" s="6"/>
      <c r="F344" s="6"/>
      <c r="G344" s="6"/>
      <c r="H344" s="14"/>
      <c r="I344" s="6"/>
      <c r="J344" s="6"/>
      <c r="K344" s="130">
        <v>6500</v>
      </c>
      <c r="L344" s="130">
        <v>6500</v>
      </c>
      <c r="M344" s="356">
        <f t="shared" si="69"/>
        <v>1</v>
      </c>
      <c r="N344" s="130">
        <f t="shared" si="70"/>
        <v>6500</v>
      </c>
      <c r="O344" s="130">
        <v>0</v>
      </c>
      <c r="P344" s="354"/>
      <c r="Q344" s="355">
        <v>0</v>
      </c>
      <c r="R344" s="356"/>
      <c r="S344" s="356"/>
      <c r="T344" s="492"/>
    </row>
    <row r="345" spans="1:20" s="167" customFormat="1" ht="16.5" customHeight="1">
      <c r="A345" s="526"/>
      <c r="B345" s="145" t="s">
        <v>76</v>
      </c>
      <c r="C345" s="130" t="s">
        <v>77</v>
      </c>
      <c r="D345" s="6"/>
      <c r="E345" s="6"/>
      <c r="F345" s="6"/>
      <c r="G345" s="6"/>
      <c r="H345" s="14"/>
      <c r="I345" s="6"/>
      <c r="J345" s="6"/>
      <c r="K345" s="130">
        <v>535</v>
      </c>
      <c r="L345" s="130">
        <v>1200</v>
      </c>
      <c r="M345" s="356">
        <f t="shared" si="69"/>
        <v>2.2429906542056073</v>
      </c>
      <c r="N345" s="130">
        <f t="shared" si="70"/>
        <v>1200</v>
      </c>
      <c r="O345" s="130"/>
      <c r="P345" s="354"/>
      <c r="Q345" s="355"/>
      <c r="R345" s="356"/>
      <c r="S345" s="356"/>
      <c r="T345" s="492"/>
    </row>
    <row r="346" spans="1:20" s="167" customFormat="1" ht="16.5" customHeight="1">
      <c r="A346" s="526"/>
      <c r="B346" s="145" t="s">
        <v>16</v>
      </c>
      <c r="C346" s="130" t="s">
        <v>17</v>
      </c>
      <c r="D346" s="6"/>
      <c r="E346" s="6"/>
      <c r="F346" s="6"/>
      <c r="G346" s="6"/>
      <c r="H346" s="14">
        <v>1600</v>
      </c>
      <c r="I346" s="6">
        <v>0</v>
      </c>
      <c r="J346" s="6">
        <v>0</v>
      </c>
      <c r="K346" s="130">
        <v>8200</v>
      </c>
      <c r="L346" s="130">
        <v>6800</v>
      </c>
      <c r="M346" s="356">
        <f t="shared" si="69"/>
        <v>0.8292682926829268</v>
      </c>
      <c r="N346" s="130">
        <f t="shared" si="70"/>
        <v>6800</v>
      </c>
      <c r="O346" s="130">
        <v>0</v>
      </c>
      <c r="P346" s="354"/>
      <c r="Q346" s="355">
        <v>0</v>
      </c>
      <c r="R346" s="356"/>
      <c r="S346" s="356"/>
      <c r="T346" s="492"/>
    </row>
    <row r="347" spans="1:20" s="167" customFormat="1" ht="16.5" customHeight="1">
      <c r="A347" s="526"/>
      <c r="B347" s="145" t="s">
        <v>737</v>
      </c>
      <c r="C347" s="130" t="s">
        <v>738</v>
      </c>
      <c r="D347" s="6"/>
      <c r="E347" s="6"/>
      <c r="F347" s="6"/>
      <c r="G347" s="6"/>
      <c r="H347" s="14"/>
      <c r="I347" s="6"/>
      <c r="J347" s="6"/>
      <c r="K347" s="130">
        <v>1725</v>
      </c>
      <c r="L347" s="130">
        <v>1758</v>
      </c>
      <c r="M347" s="356">
        <f t="shared" si="69"/>
        <v>1.0191304347826087</v>
      </c>
      <c r="N347" s="130">
        <f t="shared" si="70"/>
        <v>1758</v>
      </c>
      <c r="O347" s="130"/>
      <c r="P347" s="354"/>
      <c r="Q347" s="355"/>
      <c r="R347" s="356"/>
      <c r="S347" s="356"/>
      <c r="T347" s="492"/>
    </row>
    <row r="348" spans="1:20" s="167" customFormat="1" ht="15.75" customHeight="1">
      <c r="A348" s="526"/>
      <c r="B348" s="145" t="s">
        <v>22</v>
      </c>
      <c r="C348" s="130" t="s">
        <v>23</v>
      </c>
      <c r="D348" s="6"/>
      <c r="E348" s="6">
        <v>7121</v>
      </c>
      <c r="F348" s="6">
        <v>0</v>
      </c>
      <c r="G348" s="6">
        <v>0</v>
      </c>
      <c r="H348" s="14">
        <v>7875</v>
      </c>
      <c r="I348" s="6">
        <v>0</v>
      </c>
      <c r="J348" s="6">
        <v>0</v>
      </c>
      <c r="K348" s="130">
        <v>19556</v>
      </c>
      <c r="L348" s="130">
        <v>38850</v>
      </c>
      <c r="M348" s="356">
        <f t="shared" si="69"/>
        <v>1.9866025772141542</v>
      </c>
      <c r="N348" s="130">
        <f t="shared" si="70"/>
        <v>38850</v>
      </c>
      <c r="O348" s="130">
        <v>0</v>
      </c>
      <c r="P348" s="354"/>
      <c r="Q348" s="355">
        <v>0</v>
      </c>
      <c r="R348" s="356"/>
      <c r="S348" s="356"/>
      <c r="T348" s="492"/>
    </row>
    <row r="349" spans="1:20" s="167" customFormat="1" ht="15.75" customHeight="1">
      <c r="A349" s="526"/>
      <c r="B349" s="145" t="s">
        <v>318</v>
      </c>
      <c r="C349" s="129" t="s">
        <v>322</v>
      </c>
      <c r="D349" s="6"/>
      <c r="E349" s="6"/>
      <c r="F349" s="6"/>
      <c r="G349" s="6"/>
      <c r="H349" s="14"/>
      <c r="I349" s="6"/>
      <c r="J349" s="6"/>
      <c r="K349" s="130">
        <v>0</v>
      </c>
      <c r="L349" s="130">
        <v>2000</v>
      </c>
      <c r="M349" s="356">
        <v>0</v>
      </c>
      <c r="N349" s="130">
        <f t="shared" si="70"/>
        <v>2000</v>
      </c>
      <c r="O349" s="130"/>
      <c r="P349" s="354"/>
      <c r="Q349" s="355"/>
      <c r="R349" s="356"/>
      <c r="S349" s="356"/>
      <c r="T349" s="492"/>
    </row>
    <row r="350" spans="1:20" s="167" customFormat="1" ht="24.75" customHeight="1">
      <c r="A350" s="526"/>
      <c r="B350" s="145" t="s">
        <v>136</v>
      </c>
      <c r="C350" s="129" t="s">
        <v>429</v>
      </c>
      <c r="D350" s="6"/>
      <c r="E350" s="6">
        <v>0</v>
      </c>
      <c r="F350" s="6">
        <v>0</v>
      </c>
      <c r="G350" s="6">
        <v>0</v>
      </c>
      <c r="H350" s="14">
        <v>86536</v>
      </c>
      <c r="I350" s="6">
        <v>0</v>
      </c>
      <c r="J350" s="6">
        <v>0</v>
      </c>
      <c r="K350" s="130">
        <v>137796</v>
      </c>
      <c r="L350" s="130">
        <v>253135</v>
      </c>
      <c r="M350" s="356">
        <f t="shared" si="69"/>
        <v>1.8370271996284362</v>
      </c>
      <c r="N350" s="130">
        <f t="shared" si="70"/>
        <v>253135</v>
      </c>
      <c r="O350" s="130">
        <v>0</v>
      </c>
      <c r="P350" s="354"/>
      <c r="Q350" s="355">
        <f>N350</f>
        <v>253135</v>
      </c>
      <c r="R350" s="356"/>
      <c r="S350" s="356"/>
      <c r="T350" s="492"/>
    </row>
    <row r="351" spans="1:20" s="167" customFormat="1" ht="18" customHeight="1">
      <c r="A351" s="508" t="s">
        <v>227</v>
      </c>
      <c r="B351" s="509"/>
      <c r="C351" s="327" t="s">
        <v>257</v>
      </c>
      <c r="D351" s="326"/>
      <c r="E351" s="326" t="e">
        <f>#REF!+E353+#REF!+#REF!+#REF!</f>
        <v>#REF!</v>
      </c>
      <c r="F351" s="326" t="e">
        <f>#REF!+F353+#REF!+#REF!+#REF!</f>
        <v>#REF!</v>
      </c>
      <c r="G351" s="326" t="e">
        <f>#REF!+G353+#REF!+#REF!+#REF!</f>
        <v>#REF!</v>
      </c>
      <c r="H351" s="326" t="e">
        <f>H353+#REF!</f>
        <v>#REF!</v>
      </c>
      <c r="I351" s="326" t="e">
        <f>I353+#REF!</f>
        <v>#REF!</v>
      </c>
      <c r="J351" s="326" t="e">
        <f>J353+#REF!</f>
        <v>#REF!</v>
      </c>
      <c r="K351" s="353">
        <f>SUM(K352:K353)</f>
        <v>1200</v>
      </c>
      <c r="L351" s="353">
        <f>SUM(L352:L353)</f>
        <v>170</v>
      </c>
      <c r="M351" s="539">
        <f t="shared" si="69"/>
        <v>0.14166666666666666</v>
      </c>
      <c r="N351" s="353">
        <f aca="true" t="shared" si="71" ref="N351:T351">SUM(N352:N353)</f>
        <v>170</v>
      </c>
      <c r="O351" s="353">
        <f t="shared" si="71"/>
        <v>120</v>
      </c>
      <c r="P351" s="353">
        <f t="shared" si="71"/>
        <v>0</v>
      </c>
      <c r="Q351" s="353">
        <f t="shared" si="71"/>
        <v>0</v>
      </c>
      <c r="R351" s="353">
        <f t="shared" si="71"/>
        <v>0</v>
      </c>
      <c r="S351" s="353">
        <f t="shared" si="71"/>
        <v>0</v>
      </c>
      <c r="T351" s="491">
        <f t="shared" si="71"/>
        <v>0</v>
      </c>
    </row>
    <row r="352" spans="1:20" s="167" customFormat="1" ht="18" customHeight="1">
      <c r="A352" s="526"/>
      <c r="B352" s="145" t="s">
        <v>735</v>
      </c>
      <c r="C352" s="7" t="s">
        <v>736</v>
      </c>
      <c r="D352" s="6"/>
      <c r="E352" s="6"/>
      <c r="F352" s="6"/>
      <c r="G352" s="6"/>
      <c r="H352" s="5"/>
      <c r="I352" s="5"/>
      <c r="J352" s="5"/>
      <c r="K352" s="130">
        <v>960</v>
      </c>
      <c r="L352" s="130">
        <v>120</v>
      </c>
      <c r="M352" s="356">
        <f t="shared" si="69"/>
        <v>0.125</v>
      </c>
      <c r="N352" s="130">
        <f>L352</f>
        <v>120</v>
      </c>
      <c r="O352" s="130">
        <f>N352</f>
        <v>120</v>
      </c>
      <c r="P352" s="354">
        <v>0</v>
      </c>
      <c r="Q352" s="355">
        <v>0</v>
      </c>
      <c r="R352" s="356"/>
      <c r="S352" s="356"/>
      <c r="T352" s="492"/>
    </row>
    <row r="353" spans="1:20" s="167" customFormat="1" ht="22.5" customHeight="1">
      <c r="A353" s="526"/>
      <c r="B353" s="145" t="s">
        <v>10</v>
      </c>
      <c r="C353" s="7" t="s">
        <v>37</v>
      </c>
      <c r="D353" s="6"/>
      <c r="E353" s="6">
        <v>43</v>
      </c>
      <c r="F353" s="6">
        <v>0</v>
      </c>
      <c r="G353" s="6">
        <v>7</v>
      </c>
      <c r="H353" s="6">
        <v>100</v>
      </c>
      <c r="I353" s="6">
        <v>0</v>
      </c>
      <c r="J353" s="6">
        <v>0</v>
      </c>
      <c r="K353" s="130">
        <v>240</v>
      </c>
      <c r="L353" s="130">
        <v>50</v>
      </c>
      <c r="M353" s="356">
        <f t="shared" si="69"/>
        <v>0.20833333333333334</v>
      </c>
      <c r="N353" s="130">
        <f>L353</f>
        <v>50</v>
      </c>
      <c r="O353" s="130">
        <v>0</v>
      </c>
      <c r="P353" s="354">
        <v>0</v>
      </c>
      <c r="Q353" s="355">
        <v>0</v>
      </c>
      <c r="R353" s="356"/>
      <c r="S353" s="356"/>
      <c r="T353" s="492"/>
    </row>
    <row r="354" spans="1:20" s="167" customFormat="1" ht="24.75" customHeight="1">
      <c r="A354" s="508" t="s">
        <v>258</v>
      </c>
      <c r="B354" s="509"/>
      <c r="C354" s="327" t="s">
        <v>259</v>
      </c>
      <c r="D354" s="326"/>
      <c r="E354" s="326">
        <f>E355</f>
        <v>22260</v>
      </c>
      <c r="F354" s="326">
        <f>F355</f>
        <v>0</v>
      </c>
      <c r="G354" s="326">
        <f>G355</f>
        <v>0</v>
      </c>
      <c r="H354" s="326">
        <f>H355+H356+H357+H358+H359</f>
        <v>39096</v>
      </c>
      <c r="I354" s="326">
        <f>I355+I356+I357+I358+I359</f>
        <v>0</v>
      </c>
      <c r="J354" s="326">
        <f>J355+J356+J357+J358+J359</f>
        <v>0</v>
      </c>
      <c r="K354" s="353">
        <f>SUM(K355:K361)</f>
        <v>77515</v>
      </c>
      <c r="L354" s="353">
        <f>SUM(L355:L361)</f>
        <v>63366</v>
      </c>
      <c r="M354" s="539">
        <f t="shared" si="69"/>
        <v>0.817467586918661</v>
      </c>
      <c r="N354" s="353">
        <f aca="true" t="shared" si="72" ref="N354:T354">SUM(N355:N361)</f>
        <v>63366</v>
      </c>
      <c r="O354" s="353">
        <f t="shared" si="72"/>
        <v>18720</v>
      </c>
      <c r="P354" s="353">
        <f t="shared" si="72"/>
        <v>3828</v>
      </c>
      <c r="Q354" s="353">
        <f t="shared" si="72"/>
        <v>12000</v>
      </c>
      <c r="R354" s="353">
        <f t="shared" si="72"/>
        <v>0</v>
      </c>
      <c r="S354" s="353">
        <f t="shared" si="72"/>
        <v>0</v>
      </c>
      <c r="T354" s="491">
        <f t="shared" si="72"/>
        <v>0</v>
      </c>
    </row>
    <row r="355" spans="1:20" s="167" customFormat="1" ht="17.25" customHeight="1">
      <c r="A355" s="526"/>
      <c r="B355" s="145" t="s">
        <v>225</v>
      </c>
      <c r="C355" s="129" t="s">
        <v>551</v>
      </c>
      <c r="D355" s="6"/>
      <c r="E355" s="6">
        <v>22260</v>
      </c>
      <c r="F355" s="6">
        <v>0</v>
      </c>
      <c r="G355" s="6">
        <v>0</v>
      </c>
      <c r="H355" s="14">
        <v>12000</v>
      </c>
      <c r="I355" s="14">
        <v>0</v>
      </c>
      <c r="J355" s="14">
        <v>0</v>
      </c>
      <c r="K355" s="130">
        <v>12000</v>
      </c>
      <c r="L355" s="130">
        <v>12000</v>
      </c>
      <c r="M355" s="356">
        <f t="shared" si="69"/>
        <v>1</v>
      </c>
      <c r="N355" s="130">
        <f>L355</f>
        <v>12000</v>
      </c>
      <c r="O355" s="130">
        <v>0</v>
      </c>
      <c r="P355" s="354">
        <v>0</v>
      </c>
      <c r="Q355" s="355">
        <f>N355</f>
        <v>12000</v>
      </c>
      <c r="R355" s="356"/>
      <c r="S355" s="356"/>
      <c r="T355" s="492"/>
    </row>
    <row r="356" spans="1:20" s="167" customFormat="1" ht="15" customHeight="1">
      <c r="A356" s="526"/>
      <c r="B356" s="145" t="s">
        <v>760</v>
      </c>
      <c r="C356" s="129" t="s">
        <v>552</v>
      </c>
      <c r="D356" s="6"/>
      <c r="E356" s="6"/>
      <c r="F356" s="6"/>
      <c r="G356" s="6"/>
      <c r="H356" s="14">
        <v>13500</v>
      </c>
      <c r="I356" s="14">
        <v>0</v>
      </c>
      <c r="J356" s="14">
        <v>0</v>
      </c>
      <c r="K356" s="130">
        <v>1300</v>
      </c>
      <c r="L356" s="130">
        <v>8800</v>
      </c>
      <c r="M356" s="356">
        <f t="shared" si="69"/>
        <v>6.769230769230769</v>
      </c>
      <c r="N356" s="130">
        <f aca="true" t="shared" si="73" ref="N356:N361">L356</f>
        <v>8800</v>
      </c>
      <c r="O356" s="130">
        <v>0</v>
      </c>
      <c r="P356" s="354"/>
      <c r="Q356" s="355">
        <v>0</v>
      </c>
      <c r="R356" s="356"/>
      <c r="S356" s="356"/>
      <c r="T356" s="492"/>
    </row>
    <row r="357" spans="1:20" s="167" customFormat="1" ht="15.75" customHeight="1">
      <c r="A357" s="526"/>
      <c r="B357" s="145" t="s">
        <v>2</v>
      </c>
      <c r="C357" s="129" t="s">
        <v>397</v>
      </c>
      <c r="D357" s="6"/>
      <c r="E357" s="6"/>
      <c r="F357" s="6"/>
      <c r="G357" s="6"/>
      <c r="H357" s="14">
        <v>11300</v>
      </c>
      <c r="I357" s="14">
        <v>0</v>
      </c>
      <c r="J357" s="14">
        <v>0</v>
      </c>
      <c r="K357" s="130">
        <v>18599</v>
      </c>
      <c r="L357" s="130">
        <v>18720</v>
      </c>
      <c r="M357" s="356">
        <f t="shared" si="69"/>
        <v>1.0065057261143073</v>
      </c>
      <c r="N357" s="130">
        <f t="shared" si="73"/>
        <v>18720</v>
      </c>
      <c r="O357" s="130">
        <f>N357</f>
        <v>18720</v>
      </c>
      <c r="P357" s="354"/>
      <c r="Q357" s="355">
        <v>0</v>
      </c>
      <c r="R357" s="356"/>
      <c r="S357" s="356"/>
      <c r="T357" s="492"/>
    </row>
    <row r="358" spans="1:20" s="167" customFormat="1" ht="15" customHeight="1">
      <c r="A358" s="526"/>
      <c r="B358" s="145" t="s">
        <v>33</v>
      </c>
      <c r="C358" s="129" t="s">
        <v>70</v>
      </c>
      <c r="D358" s="6"/>
      <c r="E358" s="6"/>
      <c r="F358" s="6"/>
      <c r="G358" s="6"/>
      <c r="H358" s="14">
        <v>2020</v>
      </c>
      <c r="I358" s="14">
        <v>0</v>
      </c>
      <c r="J358" s="14">
        <v>0</v>
      </c>
      <c r="K358" s="130">
        <v>3274</v>
      </c>
      <c r="L358" s="130">
        <v>3369</v>
      </c>
      <c r="M358" s="356">
        <f t="shared" si="69"/>
        <v>1.0290164935858277</v>
      </c>
      <c r="N358" s="130">
        <f t="shared" si="73"/>
        <v>3369</v>
      </c>
      <c r="O358" s="130">
        <v>0</v>
      </c>
      <c r="P358" s="354">
        <f>N358</f>
        <v>3369</v>
      </c>
      <c r="Q358" s="355">
        <v>0</v>
      </c>
      <c r="R358" s="356"/>
      <c r="S358" s="356"/>
      <c r="T358" s="492"/>
    </row>
    <row r="359" spans="1:20" s="167" customFormat="1" ht="15.75" customHeight="1">
      <c r="A359" s="526"/>
      <c r="B359" s="145" t="s">
        <v>8</v>
      </c>
      <c r="C359" s="129" t="s">
        <v>9</v>
      </c>
      <c r="D359" s="6"/>
      <c r="E359" s="6"/>
      <c r="F359" s="6"/>
      <c r="G359" s="6"/>
      <c r="H359" s="14">
        <v>276</v>
      </c>
      <c r="I359" s="14">
        <v>0</v>
      </c>
      <c r="J359" s="14">
        <v>0</v>
      </c>
      <c r="K359" s="130">
        <v>456</v>
      </c>
      <c r="L359" s="130">
        <v>459</v>
      </c>
      <c r="M359" s="356">
        <f t="shared" si="69"/>
        <v>1.006578947368421</v>
      </c>
      <c r="N359" s="130">
        <f t="shared" si="73"/>
        <v>459</v>
      </c>
      <c r="O359" s="130">
        <v>0</v>
      </c>
      <c r="P359" s="354">
        <f>N359</f>
        <v>459</v>
      </c>
      <c r="Q359" s="355">
        <v>0</v>
      </c>
      <c r="R359" s="356"/>
      <c r="S359" s="356"/>
      <c r="T359" s="492"/>
    </row>
    <row r="360" spans="1:20" s="167" customFormat="1" ht="15.75" customHeight="1">
      <c r="A360" s="526"/>
      <c r="B360" s="145" t="s">
        <v>735</v>
      </c>
      <c r="C360" s="129" t="s">
        <v>534</v>
      </c>
      <c r="D360" s="6"/>
      <c r="E360" s="6"/>
      <c r="F360" s="6"/>
      <c r="G360" s="6"/>
      <c r="H360" s="14"/>
      <c r="I360" s="14"/>
      <c r="J360" s="14"/>
      <c r="K360" s="130">
        <v>0</v>
      </c>
      <c r="L360" s="130">
        <v>0</v>
      </c>
      <c r="M360" s="356">
        <v>0</v>
      </c>
      <c r="N360" s="130">
        <f t="shared" si="73"/>
        <v>0</v>
      </c>
      <c r="O360" s="130">
        <f>N360</f>
        <v>0</v>
      </c>
      <c r="P360" s="354"/>
      <c r="Q360" s="355">
        <v>0</v>
      </c>
      <c r="R360" s="356"/>
      <c r="S360" s="356"/>
      <c r="T360" s="492"/>
    </row>
    <row r="361" spans="1:20" s="167" customFormat="1" ht="15.75" customHeight="1">
      <c r="A361" s="526"/>
      <c r="B361" s="145" t="s">
        <v>16</v>
      </c>
      <c r="C361" s="6" t="s">
        <v>17</v>
      </c>
      <c r="D361" s="6"/>
      <c r="E361" s="6"/>
      <c r="F361" s="6"/>
      <c r="G361" s="6"/>
      <c r="H361" s="14"/>
      <c r="I361" s="14"/>
      <c r="J361" s="14"/>
      <c r="K361" s="130">
        <v>41886</v>
      </c>
      <c r="L361" s="130">
        <v>20018</v>
      </c>
      <c r="M361" s="356">
        <f t="shared" si="69"/>
        <v>0.47791624886596956</v>
      </c>
      <c r="N361" s="130">
        <f t="shared" si="73"/>
        <v>20018</v>
      </c>
      <c r="O361" s="130">
        <v>0</v>
      </c>
      <c r="P361" s="354"/>
      <c r="Q361" s="355">
        <v>0</v>
      </c>
      <c r="R361" s="356"/>
      <c r="S361" s="356"/>
      <c r="T361" s="492"/>
    </row>
    <row r="362" spans="1:20" s="167" customFormat="1" ht="15.75" customHeight="1">
      <c r="A362" s="508" t="s">
        <v>260</v>
      </c>
      <c r="B362" s="514"/>
      <c r="C362" s="326" t="s">
        <v>72</v>
      </c>
      <c r="D362" s="329"/>
      <c r="E362" s="329"/>
      <c r="F362" s="329"/>
      <c r="G362" s="329"/>
      <c r="H362" s="328"/>
      <c r="I362" s="328"/>
      <c r="J362" s="328"/>
      <c r="K362" s="353">
        <f>K363</f>
        <v>45813</v>
      </c>
      <c r="L362" s="353">
        <f>L363</f>
        <v>54910</v>
      </c>
      <c r="M362" s="539">
        <f t="shared" si="69"/>
        <v>1.1985680920262807</v>
      </c>
      <c r="N362" s="353">
        <f aca="true" t="shared" si="74" ref="N362:T362">N363</f>
        <v>54910</v>
      </c>
      <c r="O362" s="353">
        <f t="shared" si="74"/>
        <v>0</v>
      </c>
      <c r="P362" s="353">
        <f t="shared" si="74"/>
        <v>0</v>
      </c>
      <c r="Q362" s="353">
        <f t="shared" si="74"/>
        <v>0</v>
      </c>
      <c r="R362" s="353">
        <f t="shared" si="74"/>
        <v>0</v>
      </c>
      <c r="S362" s="353">
        <f t="shared" si="74"/>
        <v>0</v>
      </c>
      <c r="T362" s="491">
        <f t="shared" si="74"/>
        <v>0</v>
      </c>
    </row>
    <row r="363" spans="1:20" s="167" customFormat="1" ht="19.5" customHeight="1">
      <c r="A363" s="526"/>
      <c r="B363" s="145" t="s">
        <v>22</v>
      </c>
      <c r="C363" s="130" t="s">
        <v>23</v>
      </c>
      <c r="D363" s="6"/>
      <c r="E363" s="6"/>
      <c r="F363" s="6"/>
      <c r="G363" s="6"/>
      <c r="H363" s="14"/>
      <c r="I363" s="14"/>
      <c r="J363" s="14"/>
      <c r="K363" s="130">
        <v>45813</v>
      </c>
      <c r="L363" s="130">
        <v>54910</v>
      </c>
      <c r="M363" s="356">
        <f t="shared" si="69"/>
        <v>1.1985680920262807</v>
      </c>
      <c r="N363" s="130">
        <f>L363</f>
        <v>54910</v>
      </c>
      <c r="O363" s="130">
        <v>0</v>
      </c>
      <c r="P363" s="354"/>
      <c r="Q363" s="355">
        <v>0</v>
      </c>
      <c r="R363" s="356"/>
      <c r="S363" s="356"/>
      <c r="T363" s="492"/>
    </row>
    <row r="364" spans="1:20" s="166" customFormat="1" ht="15.75" customHeight="1">
      <c r="A364" s="528" t="s">
        <v>379</v>
      </c>
      <c r="B364" s="522"/>
      <c r="C364" s="201" t="s">
        <v>508</v>
      </c>
      <c r="D364" s="201"/>
      <c r="E364" s="201"/>
      <c r="F364" s="201"/>
      <c r="G364" s="201"/>
      <c r="H364" s="201"/>
      <c r="I364" s="201"/>
      <c r="J364" s="201"/>
      <c r="K364" s="357">
        <f>K365</f>
        <v>265230</v>
      </c>
      <c r="L364" s="357">
        <f>L365</f>
        <v>417256</v>
      </c>
      <c r="M364" s="474">
        <f aca="true" t="shared" si="75" ref="M364:T364">M365</f>
        <v>1.573185537081024</v>
      </c>
      <c r="N364" s="357">
        <f t="shared" si="75"/>
        <v>417256</v>
      </c>
      <c r="O364" s="357">
        <f t="shared" si="75"/>
        <v>14400</v>
      </c>
      <c r="P364" s="357">
        <f t="shared" si="75"/>
        <v>2952</v>
      </c>
      <c r="Q364" s="357">
        <f t="shared" si="75"/>
        <v>0</v>
      </c>
      <c r="R364" s="357">
        <f t="shared" si="75"/>
        <v>0</v>
      </c>
      <c r="S364" s="357">
        <f t="shared" si="75"/>
        <v>0</v>
      </c>
      <c r="T364" s="493">
        <f t="shared" si="75"/>
        <v>0</v>
      </c>
    </row>
    <row r="365" spans="1:20" s="167" customFormat="1" ht="15.75" customHeight="1">
      <c r="A365" s="508" t="s">
        <v>380</v>
      </c>
      <c r="B365" s="514"/>
      <c r="C365" s="326" t="s">
        <v>381</v>
      </c>
      <c r="D365" s="326"/>
      <c r="E365" s="326"/>
      <c r="F365" s="326"/>
      <c r="G365" s="326"/>
      <c r="H365" s="326"/>
      <c r="I365" s="326"/>
      <c r="J365" s="326"/>
      <c r="K365" s="353">
        <f>SUM(K366:K379)</f>
        <v>265230</v>
      </c>
      <c r="L365" s="353">
        <f>SUM(L366:L381)</f>
        <v>417256</v>
      </c>
      <c r="M365" s="540">
        <f t="shared" si="69"/>
        <v>1.573185537081024</v>
      </c>
      <c r="N365" s="353">
        <f aca="true" t="shared" si="76" ref="N365:T365">SUM(N366:N381)</f>
        <v>417256</v>
      </c>
      <c r="O365" s="353">
        <f t="shared" si="76"/>
        <v>14400</v>
      </c>
      <c r="P365" s="353">
        <f t="shared" si="76"/>
        <v>2952</v>
      </c>
      <c r="Q365" s="353">
        <f t="shared" si="76"/>
        <v>0</v>
      </c>
      <c r="R365" s="353">
        <f t="shared" si="76"/>
        <v>0</v>
      </c>
      <c r="S365" s="353">
        <f t="shared" si="76"/>
        <v>0</v>
      </c>
      <c r="T365" s="491">
        <f t="shared" si="76"/>
        <v>0</v>
      </c>
    </row>
    <row r="366" spans="1:20" s="167" customFormat="1" ht="15.75" customHeight="1">
      <c r="A366" s="526"/>
      <c r="B366" s="145" t="s">
        <v>382</v>
      </c>
      <c r="C366" s="130" t="s">
        <v>383</v>
      </c>
      <c r="D366" s="6"/>
      <c r="E366" s="6"/>
      <c r="F366" s="6"/>
      <c r="G366" s="6"/>
      <c r="H366" s="14"/>
      <c r="I366" s="14"/>
      <c r="J366" s="14"/>
      <c r="K366" s="130">
        <v>160109</v>
      </c>
      <c r="L366" s="130">
        <v>269514</v>
      </c>
      <c r="M366" s="356">
        <f t="shared" si="69"/>
        <v>1.6833157411513406</v>
      </c>
      <c r="N366" s="130">
        <f>L366</f>
        <v>269514</v>
      </c>
      <c r="O366" s="130">
        <v>0</v>
      </c>
      <c r="P366" s="354"/>
      <c r="Q366" s="355">
        <v>0</v>
      </c>
      <c r="R366" s="356"/>
      <c r="S366" s="356"/>
      <c r="T366" s="492"/>
    </row>
    <row r="367" spans="1:20" s="167" customFormat="1" ht="15.75" customHeight="1">
      <c r="A367" s="526"/>
      <c r="B367" s="145" t="s">
        <v>384</v>
      </c>
      <c r="C367" s="130" t="s">
        <v>383</v>
      </c>
      <c r="D367" s="6"/>
      <c r="E367" s="6"/>
      <c r="F367" s="6"/>
      <c r="G367" s="6"/>
      <c r="H367" s="14"/>
      <c r="I367" s="14"/>
      <c r="J367" s="14"/>
      <c r="K367" s="130">
        <v>80691</v>
      </c>
      <c r="L367" s="130">
        <v>116886</v>
      </c>
      <c r="M367" s="356">
        <f t="shared" si="69"/>
        <v>1.4485630367699</v>
      </c>
      <c r="N367" s="130">
        <f aca="true" t="shared" si="77" ref="N367:N381">L367</f>
        <v>116886</v>
      </c>
      <c r="O367" s="130">
        <v>0</v>
      </c>
      <c r="P367" s="354"/>
      <c r="Q367" s="355">
        <v>0</v>
      </c>
      <c r="R367" s="356"/>
      <c r="S367" s="356"/>
      <c r="T367" s="492"/>
    </row>
    <row r="368" spans="1:20" s="167" customFormat="1" ht="15.75" customHeight="1">
      <c r="A368" s="526"/>
      <c r="B368" s="145" t="s">
        <v>294</v>
      </c>
      <c r="C368" s="129" t="s">
        <v>397</v>
      </c>
      <c r="D368" s="6"/>
      <c r="E368" s="6"/>
      <c r="F368" s="6"/>
      <c r="G368" s="6"/>
      <c r="H368" s="14"/>
      <c r="I368" s="14"/>
      <c r="J368" s="14"/>
      <c r="K368" s="130">
        <v>2302</v>
      </c>
      <c r="L368" s="130">
        <v>6905</v>
      </c>
      <c r="M368" s="356">
        <f t="shared" si="69"/>
        <v>2.9995655951346656</v>
      </c>
      <c r="N368" s="130">
        <f t="shared" si="77"/>
        <v>6905</v>
      </c>
      <c r="O368" s="130">
        <f>N368</f>
        <v>6905</v>
      </c>
      <c r="P368" s="354"/>
      <c r="Q368" s="355"/>
      <c r="R368" s="356"/>
      <c r="S368" s="356"/>
      <c r="T368" s="492"/>
    </row>
    <row r="369" spans="1:20" s="167" customFormat="1" ht="15.75" customHeight="1">
      <c r="A369" s="526"/>
      <c r="B369" s="145" t="s">
        <v>295</v>
      </c>
      <c r="C369" s="129" t="s">
        <v>397</v>
      </c>
      <c r="D369" s="6"/>
      <c r="E369" s="6"/>
      <c r="F369" s="6"/>
      <c r="G369" s="6"/>
      <c r="H369" s="14"/>
      <c r="I369" s="14"/>
      <c r="J369" s="14"/>
      <c r="K369" s="130">
        <v>998</v>
      </c>
      <c r="L369" s="130">
        <v>2995</v>
      </c>
      <c r="M369" s="356">
        <f t="shared" si="69"/>
        <v>3.001002004008016</v>
      </c>
      <c r="N369" s="130">
        <f t="shared" si="77"/>
        <v>2995</v>
      </c>
      <c r="O369" s="130">
        <f>N369</f>
        <v>2995</v>
      </c>
      <c r="P369" s="354"/>
      <c r="Q369" s="355"/>
      <c r="R369" s="356"/>
      <c r="S369" s="356"/>
      <c r="T369" s="492"/>
    </row>
    <row r="370" spans="1:20" s="167" customFormat="1" ht="16.5" customHeight="1">
      <c r="A370" s="526"/>
      <c r="B370" s="145" t="s">
        <v>296</v>
      </c>
      <c r="C370" s="129" t="s">
        <v>70</v>
      </c>
      <c r="D370" s="6"/>
      <c r="E370" s="6"/>
      <c r="F370" s="6"/>
      <c r="G370" s="6"/>
      <c r="H370" s="14"/>
      <c r="I370" s="14"/>
      <c r="J370" s="14"/>
      <c r="K370" s="130">
        <v>982</v>
      </c>
      <c r="L370" s="130">
        <v>1814</v>
      </c>
      <c r="M370" s="356">
        <f t="shared" si="69"/>
        <v>1.8472505091649694</v>
      </c>
      <c r="N370" s="130">
        <f t="shared" si="77"/>
        <v>1814</v>
      </c>
      <c r="O370" s="130">
        <v>0</v>
      </c>
      <c r="P370" s="354">
        <f>N370</f>
        <v>1814</v>
      </c>
      <c r="Q370" s="355"/>
      <c r="R370" s="356"/>
      <c r="S370" s="356"/>
      <c r="T370" s="492"/>
    </row>
    <row r="371" spans="1:20" s="167" customFormat="1" ht="18.75" customHeight="1">
      <c r="A371" s="526"/>
      <c r="B371" s="145" t="s">
        <v>297</v>
      </c>
      <c r="C371" s="129" t="s">
        <v>70</v>
      </c>
      <c r="D371" s="6"/>
      <c r="E371" s="6"/>
      <c r="F371" s="6"/>
      <c r="G371" s="6"/>
      <c r="H371" s="14"/>
      <c r="I371" s="14"/>
      <c r="J371" s="14"/>
      <c r="K371" s="130">
        <v>426</v>
      </c>
      <c r="L371" s="130">
        <v>786</v>
      </c>
      <c r="M371" s="356">
        <f t="shared" si="69"/>
        <v>1.8450704225352113</v>
      </c>
      <c r="N371" s="130">
        <f t="shared" si="77"/>
        <v>786</v>
      </c>
      <c r="O371" s="130">
        <v>0</v>
      </c>
      <c r="P371" s="354">
        <f>N371</f>
        <v>786</v>
      </c>
      <c r="Q371" s="355"/>
      <c r="R371" s="356"/>
      <c r="S371" s="356"/>
      <c r="T371" s="492"/>
    </row>
    <row r="372" spans="1:20" s="167" customFormat="1" ht="18.75" customHeight="1">
      <c r="A372" s="526"/>
      <c r="B372" s="145" t="s">
        <v>298</v>
      </c>
      <c r="C372" s="129" t="s">
        <v>9</v>
      </c>
      <c r="D372" s="6"/>
      <c r="E372" s="6"/>
      <c r="F372" s="6"/>
      <c r="G372" s="6"/>
      <c r="H372" s="14"/>
      <c r="I372" s="14"/>
      <c r="J372" s="14"/>
      <c r="K372" s="130">
        <v>133</v>
      </c>
      <c r="L372" s="130">
        <v>246</v>
      </c>
      <c r="M372" s="356">
        <f t="shared" si="69"/>
        <v>1.849624060150376</v>
      </c>
      <c r="N372" s="130">
        <f t="shared" si="77"/>
        <v>246</v>
      </c>
      <c r="O372" s="130">
        <v>0</v>
      </c>
      <c r="P372" s="354">
        <f>N372</f>
        <v>246</v>
      </c>
      <c r="Q372" s="355"/>
      <c r="R372" s="356"/>
      <c r="S372" s="356"/>
      <c r="T372" s="492"/>
    </row>
    <row r="373" spans="1:20" s="167" customFormat="1" ht="15.75" customHeight="1">
      <c r="A373" s="526"/>
      <c r="B373" s="145" t="s">
        <v>299</v>
      </c>
      <c r="C373" s="129" t="s">
        <v>9</v>
      </c>
      <c r="D373" s="6"/>
      <c r="E373" s="6"/>
      <c r="F373" s="6"/>
      <c r="G373" s="6"/>
      <c r="H373" s="14"/>
      <c r="I373" s="14"/>
      <c r="J373" s="14"/>
      <c r="K373" s="130">
        <v>58</v>
      </c>
      <c r="L373" s="130">
        <v>106</v>
      </c>
      <c r="M373" s="356">
        <f t="shared" si="69"/>
        <v>1.8275862068965518</v>
      </c>
      <c r="N373" s="130">
        <f t="shared" si="77"/>
        <v>106</v>
      </c>
      <c r="O373" s="130">
        <v>0</v>
      </c>
      <c r="P373" s="354">
        <f>N373</f>
        <v>106</v>
      </c>
      <c r="Q373" s="355"/>
      <c r="R373" s="356"/>
      <c r="S373" s="356"/>
      <c r="T373" s="492"/>
    </row>
    <row r="374" spans="1:20" s="167" customFormat="1" ht="18.75" customHeight="1">
      <c r="A374" s="526"/>
      <c r="B374" s="145" t="s">
        <v>385</v>
      </c>
      <c r="C374" s="130" t="s">
        <v>736</v>
      </c>
      <c r="D374" s="6"/>
      <c r="E374" s="6"/>
      <c r="F374" s="6"/>
      <c r="G374" s="6"/>
      <c r="H374" s="14"/>
      <c r="I374" s="14"/>
      <c r="J374" s="14"/>
      <c r="K374" s="130">
        <v>8224</v>
      </c>
      <c r="L374" s="130">
        <v>3139</v>
      </c>
      <c r="M374" s="356">
        <f t="shared" si="69"/>
        <v>0.38168774319066145</v>
      </c>
      <c r="N374" s="130">
        <f t="shared" si="77"/>
        <v>3139</v>
      </c>
      <c r="O374" s="130">
        <f>N374</f>
        <v>3139</v>
      </c>
      <c r="P374" s="354"/>
      <c r="Q374" s="355">
        <v>0</v>
      </c>
      <c r="R374" s="356"/>
      <c r="S374" s="356"/>
      <c r="T374" s="492"/>
    </row>
    <row r="375" spans="1:20" s="167" customFormat="1" ht="15.75" customHeight="1">
      <c r="A375" s="526"/>
      <c r="B375" s="145" t="s">
        <v>386</v>
      </c>
      <c r="C375" s="130" t="s">
        <v>736</v>
      </c>
      <c r="D375" s="6"/>
      <c r="E375" s="6"/>
      <c r="F375" s="6"/>
      <c r="G375" s="6"/>
      <c r="H375" s="14"/>
      <c r="I375" s="14"/>
      <c r="J375" s="14"/>
      <c r="K375" s="130">
        <v>3196</v>
      </c>
      <c r="L375" s="130">
        <v>1361</v>
      </c>
      <c r="M375" s="356">
        <f t="shared" si="69"/>
        <v>0.4258448060075094</v>
      </c>
      <c r="N375" s="130">
        <f t="shared" si="77"/>
        <v>1361</v>
      </c>
      <c r="O375" s="130">
        <f>N375</f>
        <v>1361</v>
      </c>
      <c r="P375" s="354"/>
      <c r="Q375" s="355">
        <v>0</v>
      </c>
      <c r="R375" s="356"/>
      <c r="S375" s="356"/>
      <c r="T375" s="492"/>
    </row>
    <row r="376" spans="1:20" s="167" customFormat="1" ht="15.75" customHeight="1">
      <c r="A376" s="526"/>
      <c r="B376" s="145" t="s">
        <v>387</v>
      </c>
      <c r="C376" s="130" t="s">
        <v>11</v>
      </c>
      <c r="D376" s="6"/>
      <c r="E376" s="6"/>
      <c r="F376" s="6"/>
      <c r="G376" s="6"/>
      <c r="H376" s="14"/>
      <c r="I376" s="14"/>
      <c r="J376" s="14"/>
      <c r="K376" s="130">
        <v>1800</v>
      </c>
      <c r="L376" s="130">
        <v>3419</v>
      </c>
      <c r="M376" s="356">
        <f t="shared" si="69"/>
        <v>1.8994444444444445</v>
      </c>
      <c r="N376" s="130">
        <f t="shared" si="77"/>
        <v>3419</v>
      </c>
      <c r="O376" s="130">
        <v>0</v>
      </c>
      <c r="P376" s="354"/>
      <c r="Q376" s="355">
        <v>0</v>
      </c>
      <c r="R376" s="356"/>
      <c r="S376" s="356"/>
      <c r="T376" s="492"/>
    </row>
    <row r="377" spans="1:20" s="167" customFormat="1" ht="21.75" customHeight="1">
      <c r="A377" s="526"/>
      <c r="B377" s="145" t="s">
        <v>390</v>
      </c>
      <c r="C377" s="130" t="s">
        <v>11</v>
      </c>
      <c r="D377" s="6"/>
      <c r="E377" s="6"/>
      <c r="F377" s="6"/>
      <c r="G377" s="6"/>
      <c r="H377" s="14"/>
      <c r="I377" s="14"/>
      <c r="J377" s="14"/>
      <c r="K377" s="130">
        <v>711</v>
      </c>
      <c r="L377" s="130">
        <v>1483</v>
      </c>
      <c r="M377" s="356">
        <f t="shared" si="69"/>
        <v>2.0857946554149085</v>
      </c>
      <c r="N377" s="130">
        <f t="shared" si="77"/>
        <v>1483</v>
      </c>
      <c r="O377" s="130">
        <v>0</v>
      </c>
      <c r="P377" s="354"/>
      <c r="Q377" s="355">
        <v>0</v>
      </c>
      <c r="R377" s="356"/>
      <c r="S377" s="356"/>
      <c r="T377" s="492"/>
    </row>
    <row r="378" spans="1:20" s="167" customFormat="1" ht="21" customHeight="1">
      <c r="A378" s="526"/>
      <c r="B378" s="145" t="s">
        <v>388</v>
      </c>
      <c r="C378" s="130" t="s">
        <v>99</v>
      </c>
      <c r="D378" s="6"/>
      <c r="E378" s="6"/>
      <c r="F378" s="6"/>
      <c r="G378" s="6"/>
      <c r="H378" s="14"/>
      <c r="I378" s="14"/>
      <c r="J378" s="14"/>
      <c r="K378" s="130">
        <v>4116</v>
      </c>
      <c r="L378" s="130">
        <v>5442</v>
      </c>
      <c r="M378" s="356">
        <f t="shared" si="69"/>
        <v>1.3221574344023324</v>
      </c>
      <c r="N378" s="130">
        <f t="shared" si="77"/>
        <v>5442</v>
      </c>
      <c r="O378" s="130">
        <v>0</v>
      </c>
      <c r="P378" s="354"/>
      <c r="Q378" s="355">
        <v>0</v>
      </c>
      <c r="R378" s="356"/>
      <c r="S378" s="356"/>
      <c r="T378" s="492"/>
    </row>
    <row r="379" spans="1:20" s="167" customFormat="1" ht="18.75" customHeight="1">
      <c r="A379" s="526"/>
      <c r="B379" s="145" t="s">
        <v>389</v>
      </c>
      <c r="C379" s="130" t="s">
        <v>99</v>
      </c>
      <c r="D379" s="6"/>
      <c r="E379" s="6"/>
      <c r="F379" s="6"/>
      <c r="G379" s="6"/>
      <c r="H379" s="14"/>
      <c r="I379" s="14"/>
      <c r="J379" s="14"/>
      <c r="K379" s="130">
        <v>1484</v>
      </c>
      <c r="L379" s="130">
        <v>2360</v>
      </c>
      <c r="M379" s="356">
        <f t="shared" si="69"/>
        <v>1.5902964959568733</v>
      </c>
      <c r="N379" s="130">
        <f t="shared" si="77"/>
        <v>2360</v>
      </c>
      <c r="O379" s="130">
        <v>0</v>
      </c>
      <c r="P379" s="354"/>
      <c r="Q379" s="355">
        <v>0</v>
      </c>
      <c r="R379" s="356"/>
      <c r="S379" s="356"/>
      <c r="T379" s="492"/>
    </row>
    <row r="380" spans="1:20" s="167" customFormat="1" ht="18.75" customHeight="1">
      <c r="A380" s="526"/>
      <c r="B380" s="145" t="s">
        <v>337</v>
      </c>
      <c r="C380" s="129" t="s">
        <v>322</v>
      </c>
      <c r="D380" s="6"/>
      <c r="E380" s="6"/>
      <c r="F380" s="6"/>
      <c r="G380" s="6"/>
      <c r="H380" s="14"/>
      <c r="I380" s="14"/>
      <c r="J380" s="14"/>
      <c r="K380" s="130">
        <v>0</v>
      </c>
      <c r="L380" s="130">
        <v>558</v>
      </c>
      <c r="M380" s="356">
        <v>0</v>
      </c>
      <c r="N380" s="130">
        <f t="shared" si="77"/>
        <v>558</v>
      </c>
      <c r="O380" s="130">
        <v>0</v>
      </c>
      <c r="P380" s="354"/>
      <c r="Q380" s="355"/>
      <c r="R380" s="356"/>
      <c r="S380" s="356"/>
      <c r="T380" s="492"/>
    </row>
    <row r="381" spans="1:20" s="167" customFormat="1" ht="19.5" customHeight="1">
      <c r="A381" s="526"/>
      <c r="B381" s="145" t="s">
        <v>338</v>
      </c>
      <c r="C381" s="129" t="s">
        <v>322</v>
      </c>
      <c r="D381" s="6"/>
      <c r="E381" s="6"/>
      <c r="F381" s="6"/>
      <c r="G381" s="6"/>
      <c r="H381" s="14"/>
      <c r="I381" s="14"/>
      <c r="J381" s="14"/>
      <c r="K381" s="130">
        <v>0</v>
      </c>
      <c r="L381" s="130">
        <v>242</v>
      </c>
      <c r="M381" s="356">
        <v>0</v>
      </c>
      <c r="N381" s="130">
        <f t="shared" si="77"/>
        <v>242</v>
      </c>
      <c r="O381" s="130">
        <v>0</v>
      </c>
      <c r="P381" s="354"/>
      <c r="Q381" s="355"/>
      <c r="R381" s="356"/>
      <c r="S381" s="356"/>
      <c r="T381" s="492"/>
    </row>
    <row r="382" spans="1:20" s="167" customFormat="1" ht="19.5" customHeight="1">
      <c r="A382" s="511" t="s">
        <v>261</v>
      </c>
      <c r="B382" s="522"/>
      <c r="C382" s="201" t="s">
        <v>262</v>
      </c>
      <c r="D382" s="201" t="e">
        <f>D383+#REF!+#REF!+#REF!+#REF!+D400</f>
        <v>#REF!</v>
      </c>
      <c r="E382" s="201" t="e">
        <f>E383+#REF!+#REF!+#REF!+#REF!+E400</f>
        <v>#REF!</v>
      </c>
      <c r="F382" s="201" t="e">
        <f>F383+#REF!+#REF!+F400</f>
        <v>#REF!</v>
      </c>
      <c r="G382" s="201" t="e">
        <f>G383+#REF!+#REF!+G400</f>
        <v>#REF!</v>
      </c>
      <c r="H382" s="201" t="e">
        <f>H383+#REF!+H400</f>
        <v>#REF!</v>
      </c>
      <c r="I382" s="201" t="e">
        <f>I383+#REF!+I400</f>
        <v>#REF!</v>
      </c>
      <c r="J382" s="201" t="e">
        <f>J383+#REF!+J400</f>
        <v>#REF!</v>
      </c>
      <c r="K382" s="357">
        <f>K383+K388+K390+K400</f>
        <v>2655868</v>
      </c>
      <c r="L382" s="357">
        <f>L383+L390+L400</f>
        <v>5142799</v>
      </c>
      <c r="M382" s="473">
        <f t="shared" si="69"/>
        <v>1.93639104051858</v>
      </c>
      <c r="N382" s="357">
        <f aca="true" t="shared" si="78" ref="N382:T382">N383+N390+N400</f>
        <v>1044580</v>
      </c>
      <c r="O382" s="357">
        <f t="shared" si="78"/>
        <v>500</v>
      </c>
      <c r="P382" s="357">
        <f t="shared" si="78"/>
        <v>0</v>
      </c>
      <c r="Q382" s="357">
        <f t="shared" si="78"/>
        <v>287000</v>
      </c>
      <c r="R382" s="357">
        <f t="shared" si="78"/>
        <v>0</v>
      </c>
      <c r="S382" s="357">
        <f t="shared" si="78"/>
        <v>0</v>
      </c>
      <c r="T382" s="493">
        <f t="shared" si="78"/>
        <v>4098219</v>
      </c>
    </row>
    <row r="383" spans="1:20" s="167" customFormat="1" ht="19.5" customHeight="1">
      <c r="A383" s="513" t="s">
        <v>263</v>
      </c>
      <c r="B383" s="514"/>
      <c r="C383" s="326" t="s">
        <v>264</v>
      </c>
      <c r="D383" s="326" t="e">
        <f>#REF!+D388+D389</f>
        <v>#REF!</v>
      </c>
      <c r="E383" s="326" t="e">
        <f>#REF!+E388+E389+E384</f>
        <v>#REF!</v>
      </c>
      <c r="F383" s="326" t="e">
        <f>#REF!+F388+F389+F384</f>
        <v>#REF!</v>
      </c>
      <c r="G383" s="326" t="e">
        <f>#REF!+G388+G389</f>
        <v>#REF!</v>
      </c>
      <c r="H383" s="326" t="e">
        <f>#REF!+H384+H387+H385+H386+#REF!</f>
        <v>#REF!</v>
      </c>
      <c r="I383" s="326" t="e">
        <f>#REF!+I384+I387+I385+I386+#REF!</f>
        <v>#REF!</v>
      </c>
      <c r="J383" s="326" t="e">
        <f>#REF!+J384+J387+J385+J386+#REF!</f>
        <v>#REF!</v>
      </c>
      <c r="K383" s="353">
        <f>SUM(K384:K387)</f>
        <v>2054116</v>
      </c>
      <c r="L383" s="353">
        <f>SUM(L384:L387)</f>
        <v>4385219</v>
      </c>
      <c r="M383" s="539">
        <f t="shared" si="69"/>
        <v>2.134844867573204</v>
      </c>
      <c r="N383" s="353">
        <f aca="true" t="shared" si="79" ref="N383:T383">SUM(N384:N387)</f>
        <v>287000</v>
      </c>
      <c r="O383" s="353">
        <f t="shared" si="79"/>
        <v>0</v>
      </c>
      <c r="P383" s="353">
        <f t="shared" si="79"/>
        <v>0</v>
      </c>
      <c r="Q383" s="353">
        <f t="shared" si="79"/>
        <v>287000</v>
      </c>
      <c r="R383" s="353">
        <f t="shared" si="79"/>
        <v>0</v>
      </c>
      <c r="S383" s="353">
        <f t="shared" si="79"/>
        <v>0</v>
      </c>
      <c r="T383" s="491">
        <f t="shared" si="79"/>
        <v>4098219</v>
      </c>
    </row>
    <row r="384" spans="1:20" s="167" customFormat="1" ht="19.5" customHeight="1">
      <c r="A384" s="516"/>
      <c r="B384" s="145" t="s">
        <v>265</v>
      </c>
      <c r="C384" s="129" t="s">
        <v>901</v>
      </c>
      <c r="D384" s="14"/>
      <c r="E384" s="14">
        <v>0</v>
      </c>
      <c r="F384" s="14">
        <v>9135</v>
      </c>
      <c r="G384" s="14">
        <v>0</v>
      </c>
      <c r="H384" s="14">
        <v>100000</v>
      </c>
      <c r="I384" s="14">
        <v>0</v>
      </c>
      <c r="J384" s="14">
        <v>0</v>
      </c>
      <c r="K384" s="130">
        <v>498617</v>
      </c>
      <c r="L384" s="130">
        <v>287000</v>
      </c>
      <c r="M384" s="356">
        <f t="shared" si="69"/>
        <v>0.5755920877146187</v>
      </c>
      <c r="N384" s="130">
        <f>L384</f>
        <v>287000</v>
      </c>
      <c r="O384" s="130">
        <v>0</v>
      </c>
      <c r="P384" s="354"/>
      <c r="Q384" s="355">
        <f>N384</f>
        <v>287000</v>
      </c>
      <c r="R384" s="356"/>
      <c r="S384" s="356"/>
      <c r="T384" s="492"/>
    </row>
    <row r="385" spans="1:20" s="167" customFormat="1" ht="21.75" customHeight="1">
      <c r="A385" s="516"/>
      <c r="B385" s="145" t="s">
        <v>40</v>
      </c>
      <c r="C385" s="129" t="s">
        <v>855</v>
      </c>
      <c r="D385" s="14"/>
      <c r="E385" s="14"/>
      <c r="F385" s="14"/>
      <c r="G385" s="14"/>
      <c r="H385" s="14">
        <v>5011670</v>
      </c>
      <c r="I385" s="14">
        <v>0</v>
      </c>
      <c r="J385" s="14">
        <v>0</v>
      </c>
      <c r="K385" s="130">
        <v>28387</v>
      </c>
      <c r="L385" s="130">
        <v>0</v>
      </c>
      <c r="M385" s="356">
        <f t="shared" si="69"/>
        <v>0</v>
      </c>
      <c r="N385" s="130"/>
      <c r="O385" s="130">
        <v>0</v>
      </c>
      <c r="P385" s="354">
        <f>L385</f>
        <v>0</v>
      </c>
      <c r="Q385" s="361">
        <v>0</v>
      </c>
      <c r="R385" s="356"/>
      <c r="S385" s="356"/>
      <c r="T385" s="498">
        <f>L385</f>
        <v>0</v>
      </c>
    </row>
    <row r="386" spans="1:20" s="167" customFormat="1" ht="23.25" customHeight="1">
      <c r="A386" s="516"/>
      <c r="B386" s="145" t="s">
        <v>374</v>
      </c>
      <c r="C386" s="129" t="s">
        <v>855</v>
      </c>
      <c r="D386" s="14"/>
      <c r="E386" s="14"/>
      <c r="F386" s="14"/>
      <c r="G386" s="14"/>
      <c r="H386" s="14">
        <v>8600</v>
      </c>
      <c r="I386" s="14">
        <v>0</v>
      </c>
      <c r="J386" s="14">
        <v>0</v>
      </c>
      <c r="K386" s="130">
        <v>840758</v>
      </c>
      <c r="L386" s="130">
        <v>2115764</v>
      </c>
      <c r="M386" s="356">
        <f t="shared" si="69"/>
        <v>2.516495828764044</v>
      </c>
      <c r="N386" s="130"/>
      <c r="O386" s="130">
        <v>0</v>
      </c>
      <c r="P386" s="354"/>
      <c r="Q386" s="361">
        <v>0</v>
      </c>
      <c r="R386" s="356"/>
      <c r="S386" s="356"/>
      <c r="T386" s="498">
        <f>L386</f>
        <v>2115764</v>
      </c>
    </row>
    <row r="387" spans="1:20" s="167" customFormat="1" ht="22.5" customHeight="1">
      <c r="A387" s="516"/>
      <c r="B387" s="145" t="s">
        <v>546</v>
      </c>
      <c r="C387" s="129" t="s">
        <v>855</v>
      </c>
      <c r="D387" s="14"/>
      <c r="E387" s="14"/>
      <c r="F387" s="14"/>
      <c r="G387" s="14"/>
      <c r="H387" s="14">
        <v>74000</v>
      </c>
      <c r="I387" s="14">
        <v>0</v>
      </c>
      <c r="J387" s="14">
        <v>0</v>
      </c>
      <c r="K387" s="130">
        <v>686354</v>
      </c>
      <c r="L387" s="130">
        <v>1982455</v>
      </c>
      <c r="M387" s="356">
        <f t="shared" si="69"/>
        <v>2.888385585281065</v>
      </c>
      <c r="N387" s="130"/>
      <c r="O387" s="130">
        <v>0</v>
      </c>
      <c r="P387" s="354"/>
      <c r="Q387" s="361">
        <v>0</v>
      </c>
      <c r="R387" s="356"/>
      <c r="S387" s="356"/>
      <c r="T387" s="498">
        <f>L387</f>
        <v>1982455</v>
      </c>
    </row>
    <row r="388" spans="1:20" s="167" customFormat="1" ht="38.25" customHeight="1">
      <c r="A388" s="513" t="s">
        <v>300</v>
      </c>
      <c r="B388" s="529"/>
      <c r="C388" s="327" t="s">
        <v>301</v>
      </c>
      <c r="D388" s="328">
        <v>74531</v>
      </c>
      <c r="E388" s="328">
        <v>0</v>
      </c>
      <c r="F388" s="328">
        <v>0</v>
      </c>
      <c r="G388" s="328">
        <v>0</v>
      </c>
      <c r="H388" s="329"/>
      <c r="I388" s="329"/>
      <c r="J388" s="329"/>
      <c r="K388" s="353">
        <f>K389</f>
        <v>45000</v>
      </c>
      <c r="L388" s="353">
        <f>L389</f>
        <v>0</v>
      </c>
      <c r="M388" s="539">
        <f t="shared" si="69"/>
        <v>0</v>
      </c>
      <c r="N388" s="353"/>
      <c r="O388" s="353">
        <f>O389</f>
        <v>0</v>
      </c>
      <c r="P388" s="353">
        <f>P389</f>
        <v>0</v>
      </c>
      <c r="Q388" s="353">
        <f>Q389</f>
        <v>0</v>
      </c>
      <c r="R388" s="539"/>
      <c r="S388" s="539"/>
      <c r="T388" s="545"/>
    </row>
    <row r="389" spans="1:20" s="167" customFormat="1" ht="34.5" customHeight="1">
      <c r="A389" s="515"/>
      <c r="B389" s="147" t="s">
        <v>266</v>
      </c>
      <c r="C389" s="129" t="s">
        <v>267</v>
      </c>
      <c r="D389" s="14">
        <v>40000</v>
      </c>
      <c r="E389" s="14">
        <v>173000</v>
      </c>
      <c r="F389" s="14">
        <v>50000</v>
      </c>
      <c r="G389" s="14">
        <v>0</v>
      </c>
      <c r="H389" s="6"/>
      <c r="I389" s="6"/>
      <c r="J389" s="6"/>
      <c r="K389" s="130">
        <v>45000</v>
      </c>
      <c r="L389" s="130">
        <v>0</v>
      </c>
      <c r="M389" s="356">
        <f t="shared" si="69"/>
        <v>0</v>
      </c>
      <c r="N389" s="130"/>
      <c r="O389" s="130">
        <v>0</v>
      </c>
      <c r="P389" s="354">
        <f>H389</f>
        <v>0</v>
      </c>
      <c r="Q389" s="354">
        <v>0</v>
      </c>
      <c r="R389" s="356"/>
      <c r="S389" s="356"/>
      <c r="T389" s="492"/>
    </row>
    <row r="390" spans="1:20" s="166" customFormat="1" ht="30" customHeight="1">
      <c r="A390" s="513" t="s">
        <v>391</v>
      </c>
      <c r="B390" s="530"/>
      <c r="C390" s="327" t="s">
        <v>392</v>
      </c>
      <c r="D390" s="326"/>
      <c r="E390" s="326"/>
      <c r="F390" s="326"/>
      <c r="G390" s="326"/>
      <c r="H390" s="326"/>
      <c r="I390" s="326"/>
      <c r="J390" s="326"/>
      <c r="K390" s="353">
        <f>SUM(K391:K399)</f>
        <v>8752</v>
      </c>
      <c r="L390" s="353">
        <f>SUM(L391:L399)</f>
        <v>3580</v>
      </c>
      <c r="M390" s="539">
        <f t="shared" si="69"/>
        <v>0.40904936014625226</v>
      </c>
      <c r="N390" s="353">
        <f aca="true" t="shared" si="80" ref="N390:T390">SUM(N391:N399)</f>
        <v>3580</v>
      </c>
      <c r="O390" s="353">
        <f t="shared" si="80"/>
        <v>500</v>
      </c>
      <c r="P390" s="353">
        <f t="shared" si="80"/>
        <v>0</v>
      </c>
      <c r="Q390" s="353">
        <f t="shared" si="80"/>
        <v>0</v>
      </c>
      <c r="R390" s="353">
        <f t="shared" si="80"/>
        <v>0</v>
      </c>
      <c r="S390" s="353">
        <f t="shared" si="80"/>
        <v>0</v>
      </c>
      <c r="T390" s="491">
        <f t="shared" si="80"/>
        <v>0</v>
      </c>
    </row>
    <row r="391" spans="1:20" s="166" customFormat="1" ht="21" customHeight="1">
      <c r="A391" s="516"/>
      <c r="B391" s="147" t="s">
        <v>2</v>
      </c>
      <c r="C391" s="129" t="s">
        <v>397</v>
      </c>
      <c r="D391" s="5"/>
      <c r="E391" s="5"/>
      <c r="F391" s="5"/>
      <c r="G391" s="5"/>
      <c r="H391" s="5"/>
      <c r="I391" s="5"/>
      <c r="J391" s="5"/>
      <c r="K391" s="130">
        <v>4156</v>
      </c>
      <c r="L391" s="130">
        <v>0</v>
      </c>
      <c r="M391" s="356">
        <f t="shared" si="69"/>
        <v>0</v>
      </c>
      <c r="N391" s="130">
        <f>L391</f>
        <v>0</v>
      </c>
      <c r="O391" s="130">
        <f>N391</f>
        <v>0</v>
      </c>
      <c r="P391" s="130">
        <f>L391</f>
        <v>0</v>
      </c>
      <c r="Q391" s="358">
        <v>0</v>
      </c>
      <c r="R391" s="356"/>
      <c r="S391" s="356"/>
      <c r="T391" s="492"/>
    </row>
    <row r="392" spans="1:20" s="166" customFormat="1" ht="21" customHeight="1">
      <c r="A392" s="516"/>
      <c r="B392" s="147" t="s">
        <v>33</v>
      </c>
      <c r="C392" s="129" t="s">
        <v>70</v>
      </c>
      <c r="D392" s="5"/>
      <c r="E392" s="5"/>
      <c r="F392" s="5"/>
      <c r="G392" s="5"/>
      <c r="H392" s="5"/>
      <c r="I392" s="5"/>
      <c r="J392" s="5"/>
      <c r="K392" s="130">
        <v>756</v>
      </c>
      <c r="L392" s="130">
        <v>0</v>
      </c>
      <c r="M392" s="356">
        <f t="shared" si="69"/>
        <v>0</v>
      </c>
      <c r="N392" s="130">
        <f aca="true" t="shared" si="81" ref="N392:N399">L392</f>
        <v>0</v>
      </c>
      <c r="O392" s="130">
        <v>0</v>
      </c>
      <c r="P392" s="130">
        <f>N392</f>
        <v>0</v>
      </c>
      <c r="Q392" s="358">
        <v>0</v>
      </c>
      <c r="R392" s="356"/>
      <c r="S392" s="356"/>
      <c r="T392" s="492"/>
    </row>
    <row r="393" spans="1:20" s="166" customFormat="1" ht="19.5" customHeight="1">
      <c r="A393" s="516"/>
      <c r="B393" s="147" t="s">
        <v>8</v>
      </c>
      <c r="C393" s="129" t="s">
        <v>9</v>
      </c>
      <c r="D393" s="5"/>
      <c r="E393" s="5"/>
      <c r="F393" s="5"/>
      <c r="G393" s="5"/>
      <c r="H393" s="5"/>
      <c r="I393" s="5"/>
      <c r="J393" s="5"/>
      <c r="K393" s="130">
        <v>102</v>
      </c>
      <c r="L393" s="130">
        <v>0</v>
      </c>
      <c r="M393" s="356">
        <f t="shared" si="69"/>
        <v>0</v>
      </c>
      <c r="N393" s="130">
        <f t="shared" si="81"/>
        <v>0</v>
      </c>
      <c r="O393" s="130">
        <v>0</v>
      </c>
      <c r="P393" s="130">
        <f>N393</f>
        <v>0</v>
      </c>
      <c r="Q393" s="358">
        <v>0</v>
      </c>
      <c r="R393" s="356"/>
      <c r="S393" s="356"/>
      <c r="T393" s="492"/>
    </row>
    <row r="394" spans="1:20" s="166" customFormat="1" ht="16.5" customHeight="1">
      <c r="A394" s="516"/>
      <c r="B394" s="147" t="s">
        <v>735</v>
      </c>
      <c r="C394" s="129" t="s">
        <v>534</v>
      </c>
      <c r="D394" s="5"/>
      <c r="E394" s="5"/>
      <c r="F394" s="5"/>
      <c r="G394" s="5"/>
      <c r="H394" s="5"/>
      <c r="I394" s="5"/>
      <c r="J394" s="5"/>
      <c r="K394" s="130">
        <v>0</v>
      </c>
      <c r="L394" s="130">
        <v>500</v>
      </c>
      <c r="M394" s="356">
        <v>0</v>
      </c>
      <c r="N394" s="130">
        <f t="shared" si="81"/>
        <v>500</v>
      </c>
      <c r="O394" s="130">
        <f>N394</f>
        <v>500</v>
      </c>
      <c r="P394" s="130"/>
      <c r="Q394" s="358">
        <v>0</v>
      </c>
      <c r="R394" s="356"/>
      <c r="S394" s="356"/>
      <c r="T394" s="492"/>
    </row>
    <row r="395" spans="1:20" s="167" customFormat="1" ht="12.75" customHeight="1">
      <c r="A395" s="515"/>
      <c r="B395" s="147" t="s">
        <v>10</v>
      </c>
      <c r="C395" s="129" t="s">
        <v>11</v>
      </c>
      <c r="D395" s="14"/>
      <c r="E395" s="14"/>
      <c r="F395" s="14"/>
      <c r="G395" s="14"/>
      <c r="H395" s="6"/>
      <c r="I395" s="6"/>
      <c r="J395" s="6"/>
      <c r="K395" s="130">
        <v>3547</v>
      </c>
      <c r="L395" s="130">
        <v>1500</v>
      </c>
      <c r="M395" s="356">
        <f aca="true" t="shared" si="82" ref="M395:M456">L395/K395</f>
        <v>0.422892585283338</v>
      </c>
      <c r="N395" s="130">
        <f t="shared" si="81"/>
        <v>1500</v>
      </c>
      <c r="O395" s="130">
        <v>0</v>
      </c>
      <c r="P395" s="130"/>
      <c r="Q395" s="355">
        <v>0</v>
      </c>
      <c r="R395" s="356"/>
      <c r="S395" s="356"/>
      <c r="T395" s="492"/>
    </row>
    <row r="396" spans="1:20" s="167" customFormat="1" ht="12.75" customHeight="1">
      <c r="A396" s="515"/>
      <c r="B396" s="147" t="s">
        <v>12</v>
      </c>
      <c r="C396" s="130" t="s">
        <v>97</v>
      </c>
      <c r="D396" s="14"/>
      <c r="E396" s="14"/>
      <c r="F396" s="14"/>
      <c r="G396" s="14"/>
      <c r="H396" s="6"/>
      <c r="I396" s="6"/>
      <c r="J396" s="6"/>
      <c r="K396" s="130">
        <v>0</v>
      </c>
      <c r="L396" s="130">
        <v>200</v>
      </c>
      <c r="M396" s="356">
        <v>0</v>
      </c>
      <c r="N396" s="130">
        <f t="shared" si="81"/>
        <v>200</v>
      </c>
      <c r="O396" s="130">
        <v>0</v>
      </c>
      <c r="P396" s="130"/>
      <c r="Q396" s="355">
        <v>0</v>
      </c>
      <c r="R396" s="356"/>
      <c r="S396" s="356"/>
      <c r="T396" s="492"/>
    </row>
    <row r="397" spans="1:20" s="167" customFormat="1" ht="12.75" customHeight="1">
      <c r="A397" s="515"/>
      <c r="B397" s="147" t="s">
        <v>16</v>
      </c>
      <c r="C397" s="130" t="s">
        <v>99</v>
      </c>
      <c r="D397" s="14"/>
      <c r="E397" s="14"/>
      <c r="F397" s="14"/>
      <c r="G397" s="14"/>
      <c r="H397" s="6"/>
      <c r="I397" s="6"/>
      <c r="J397" s="6"/>
      <c r="K397" s="130">
        <v>0</v>
      </c>
      <c r="L397" s="130">
        <v>300</v>
      </c>
      <c r="M397" s="356">
        <v>0</v>
      </c>
      <c r="N397" s="130">
        <f t="shared" si="81"/>
        <v>300</v>
      </c>
      <c r="O397" s="130">
        <v>0</v>
      </c>
      <c r="P397" s="130"/>
      <c r="Q397" s="355">
        <v>0</v>
      </c>
      <c r="R397" s="356"/>
      <c r="S397" s="356"/>
      <c r="T397" s="492"/>
    </row>
    <row r="398" spans="1:20" s="167" customFormat="1" ht="12.75" customHeight="1">
      <c r="A398" s="515"/>
      <c r="B398" s="147" t="s">
        <v>737</v>
      </c>
      <c r="C398" s="130" t="s">
        <v>393</v>
      </c>
      <c r="D398" s="14"/>
      <c r="E398" s="14"/>
      <c r="F398" s="14"/>
      <c r="G398" s="14"/>
      <c r="H398" s="6"/>
      <c r="I398" s="6"/>
      <c r="J398" s="6"/>
      <c r="K398" s="130">
        <v>0</v>
      </c>
      <c r="L398" s="130">
        <v>1080</v>
      </c>
      <c r="M398" s="356">
        <v>0</v>
      </c>
      <c r="N398" s="130">
        <f t="shared" si="81"/>
        <v>1080</v>
      </c>
      <c r="O398" s="130">
        <v>0</v>
      </c>
      <c r="P398" s="130"/>
      <c r="Q398" s="355">
        <v>0</v>
      </c>
      <c r="R398" s="356"/>
      <c r="S398" s="356"/>
      <c r="T398" s="492"/>
    </row>
    <row r="399" spans="1:20" s="167" customFormat="1" ht="15" customHeight="1">
      <c r="A399" s="516"/>
      <c r="B399" s="147" t="s">
        <v>22</v>
      </c>
      <c r="C399" s="130" t="s">
        <v>23</v>
      </c>
      <c r="D399" s="14"/>
      <c r="E399" s="14"/>
      <c r="F399" s="14"/>
      <c r="G399" s="14"/>
      <c r="H399" s="6"/>
      <c r="I399" s="6"/>
      <c r="J399" s="6"/>
      <c r="K399" s="130">
        <v>191</v>
      </c>
      <c r="L399" s="130">
        <v>0</v>
      </c>
      <c r="M399" s="356">
        <f t="shared" si="82"/>
        <v>0</v>
      </c>
      <c r="N399" s="130">
        <f t="shared" si="81"/>
        <v>0</v>
      </c>
      <c r="O399" s="130">
        <v>0</v>
      </c>
      <c r="P399" s="130">
        <f>L399</f>
        <v>0</v>
      </c>
      <c r="Q399" s="355">
        <v>0</v>
      </c>
      <c r="R399" s="356"/>
      <c r="S399" s="356"/>
      <c r="T399" s="492"/>
    </row>
    <row r="400" spans="1:20" s="167" customFormat="1" ht="26.25" customHeight="1">
      <c r="A400" s="508" t="s">
        <v>274</v>
      </c>
      <c r="B400" s="529"/>
      <c r="C400" s="327" t="s">
        <v>275</v>
      </c>
      <c r="D400" s="326" t="e">
        <f>#REF!</f>
        <v>#REF!</v>
      </c>
      <c r="E400" s="326" t="e">
        <f>#REF!+E401+#REF!</f>
        <v>#REF!</v>
      </c>
      <c r="F400" s="326" t="e">
        <f>#REF!+F401+#REF!</f>
        <v>#REF!</v>
      </c>
      <c r="G400" s="326" t="e">
        <f>#REF!+G401+#REF!</f>
        <v>#REF!</v>
      </c>
      <c r="H400" s="326">
        <f aca="true" t="shared" si="83" ref="H400:T400">H401</f>
        <v>363000</v>
      </c>
      <c r="I400" s="326">
        <f t="shared" si="83"/>
        <v>0</v>
      </c>
      <c r="J400" s="326">
        <f t="shared" si="83"/>
        <v>0</v>
      </c>
      <c r="K400" s="353">
        <f t="shared" si="83"/>
        <v>548000</v>
      </c>
      <c r="L400" s="353">
        <f t="shared" si="83"/>
        <v>754000</v>
      </c>
      <c r="M400" s="539">
        <f t="shared" si="82"/>
        <v>1.3759124087591241</v>
      </c>
      <c r="N400" s="353">
        <f t="shared" si="83"/>
        <v>754000</v>
      </c>
      <c r="O400" s="353">
        <f t="shared" si="83"/>
        <v>0</v>
      </c>
      <c r="P400" s="353">
        <f t="shared" si="83"/>
        <v>0</v>
      </c>
      <c r="Q400" s="353">
        <f t="shared" si="83"/>
        <v>0</v>
      </c>
      <c r="R400" s="353">
        <f t="shared" si="83"/>
        <v>0</v>
      </c>
      <c r="S400" s="353">
        <f t="shared" si="83"/>
        <v>0</v>
      </c>
      <c r="T400" s="491">
        <f t="shared" si="83"/>
        <v>0</v>
      </c>
    </row>
    <row r="401" spans="1:20" s="167" customFormat="1" ht="21.75" customHeight="1">
      <c r="A401" s="510"/>
      <c r="B401" s="147" t="s">
        <v>276</v>
      </c>
      <c r="C401" s="129" t="s">
        <v>277</v>
      </c>
      <c r="D401" s="6"/>
      <c r="E401" s="6">
        <v>47223</v>
      </c>
      <c r="F401" s="6">
        <v>0</v>
      </c>
      <c r="G401" s="6">
        <v>0</v>
      </c>
      <c r="H401" s="6">
        <v>363000</v>
      </c>
      <c r="I401" s="6">
        <v>0</v>
      </c>
      <c r="J401" s="6">
        <v>0</v>
      </c>
      <c r="K401" s="130">
        <v>548000</v>
      </c>
      <c r="L401" s="130">
        <v>754000</v>
      </c>
      <c r="M401" s="356">
        <f t="shared" si="82"/>
        <v>1.3759124087591241</v>
      </c>
      <c r="N401" s="130">
        <f>L401</f>
        <v>754000</v>
      </c>
      <c r="O401" s="130"/>
      <c r="P401" s="354">
        <v>0</v>
      </c>
      <c r="Q401" s="355">
        <v>0</v>
      </c>
      <c r="R401" s="356"/>
      <c r="S401" s="356"/>
      <c r="T401" s="492"/>
    </row>
    <row r="402" spans="1:20" s="167" customFormat="1" ht="24" customHeight="1">
      <c r="A402" s="511" t="s">
        <v>104</v>
      </c>
      <c r="B402" s="531"/>
      <c r="C402" s="201" t="s">
        <v>111</v>
      </c>
      <c r="D402" s="201" t="e">
        <f>D403+D427+D458+#REF!+D466+#REF!+#REF!+D516</f>
        <v>#REF!</v>
      </c>
      <c r="E402" s="201" t="e">
        <f>E403+E427+E458+#REF!+E466+#REF!+#REF!+#REF!+E516+#REF!</f>
        <v>#REF!</v>
      </c>
      <c r="F402" s="201" t="e">
        <f>F403+F427+F458+#REF!+F466+#REF!+#REF!+#REF!+F516+#REF!</f>
        <v>#REF!</v>
      </c>
      <c r="G402" s="201" t="e">
        <f>G403+G427+G458+#REF!+G466+#REF!+#REF!+#REF!+G516+#REF!</f>
        <v>#REF!</v>
      </c>
      <c r="H402" s="201" t="e">
        <f>H403+H427+H458+#REF!+H466+#REF!+#REF!+#REF!+H516+#REF!</f>
        <v>#REF!</v>
      </c>
      <c r="I402" s="201" t="e">
        <f>I403+I427+I458+#REF!+I466+#REF!+#REF!+#REF!+I516+#REF!</f>
        <v>#REF!</v>
      </c>
      <c r="J402" s="201" t="e">
        <f>J403+J427+J458+#REF!+J466+#REF!+#REF!+#REF!+J516+#REF!</f>
        <v>#REF!</v>
      </c>
      <c r="K402" s="357">
        <f>K403+K427+K450+K458+K466+K485+K498+K500</f>
        <v>4071127</v>
      </c>
      <c r="L402" s="357">
        <f>L403+L427+L450+L458+L466+L485+L498+L500</f>
        <v>3259699</v>
      </c>
      <c r="M402" s="473">
        <f t="shared" si="82"/>
        <v>0.8006871315977124</v>
      </c>
      <c r="N402" s="357">
        <f aca="true" t="shared" si="84" ref="N402:T402">N403+N427+N450+N458+N466+N485+N498+N500</f>
        <v>3259699</v>
      </c>
      <c r="O402" s="357">
        <f t="shared" si="84"/>
        <v>1184354</v>
      </c>
      <c r="P402" s="357">
        <f t="shared" si="84"/>
        <v>186319</v>
      </c>
      <c r="Q402" s="357">
        <f t="shared" si="84"/>
        <v>202709</v>
      </c>
      <c r="R402" s="357">
        <f t="shared" si="84"/>
        <v>0</v>
      </c>
      <c r="S402" s="357">
        <f t="shared" si="84"/>
        <v>0</v>
      </c>
      <c r="T402" s="493">
        <f t="shared" si="84"/>
        <v>0</v>
      </c>
    </row>
    <row r="403" spans="1:20" s="167" customFormat="1" ht="19.5" customHeight="1">
      <c r="A403" s="513" t="s">
        <v>106</v>
      </c>
      <c r="B403" s="530"/>
      <c r="C403" s="327" t="s">
        <v>280</v>
      </c>
      <c r="D403" s="326" t="e">
        <f>D406+D407+D408+#REF!</f>
        <v>#REF!</v>
      </c>
      <c r="E403" s="326" t="e">
        <f>E406+E407+E408+E409+#REF!+E404+#REF!+E405+E411+E412+#REF!+E414+#REF!+E417+E420+E421+E422+#REF!</f>
        <v>#REF!</v>
      </c>
      <c r="F403" s="326" t="e">
        <f>F406+F407+F408+F409+#REF!+F404+#REF!+F405+F411+F412+#REF!+F414+#REF!+F417+F420+F421+F422+#REF!</f>
        <v>#REF!</v>
      </c>
      <c r="G403" s="326" t="e">
        <f>G406+G407+G408+G409+#REF!+G404+#REF!+G405+G411+G412+#REF!+G414+#REF!+G417+G420+G421+G422+#REF!</f>
        <v>#REF!</v>
      </c>
      <c r="H403" s="326" t="e">
        <f>H406+H407+H408+H409+H404+H405+H411+H412+H414+H417+H420+H421+H422+#REF!+H413</f>
        <v>#REF!</v>
      </c>
      <c r="I403" s="326" t="e">
        <f>I406+I407+I408+I409+I404+I405+I411+I412+I414+I417+I420+I421+I422+#REF!+I413</f>
        <v>#REF!</v>
      </c>
      <c r="J403" s="326" t="e">
        <f>J406+J407+J408+J409+J404+J405+J411+J412+J414+J417+J420+J421+J422+#REF!+J413</f>
        <v>#REF!</v>
      </c>
      <c r="K403" s="353">
        <f>SUM(K404:K426)</f>
        <v>1374594</v>
      </c>
      <c r="L403" s="353">
        <f>SUM(L404:L426)</f>
        <v>1138627</v>
      </c>
      <c r="M403" s="539">
        <f t="shared" si="82"/>
        <v>0.8283369489463798</v>
      </c>
      <c r="N403" s="353">
        <f aca="true" t="shared" si="85" ref="N403:T403">SUM(N404:N426)</f>
        <v>1138627</v>
      </c>
      <c r="O403" s="353">
        <f t="shared" si="85"/>
        <v>499525</v>
      </c>
      <c r="P403" s="353">
        <f t="shared" si="85"/>
        <v>86658</v>
      </c>
      <c r="Q403" s="353">
        <f t="shared" si="85"/>
        <v>181627</v>
      </c>
      <c r="R403" s="353">
        <f t="shared" si="85"/>
        <v>0</v>
      </c>
      <c r="S403" s="353">
        <f t="shared" si="85"/>
        <v>0</v>
      </c>
      <c r="T403" s="491">
        <f t="shared" si="85"/>
        <v>0</v>
      </c>
    </row>
    <row r="404" spans="1:20" s="167" customFormat="1" ht="15.75" customHeight="1">
      <c r="A404" s="516"/>
      <c r="B404" s="147" t="s">
        <v>910</v>
      </c>
      <c r="C404" s="130" t="s">
        <v>273</v>
      </c>
      <c r="D404" s="6"/>
      <c r="E404" s="6">
        <v>10492</v>
      </c>
      <c r="F404" s="6">
        <v>0</v>
      </c>
      <c r="G404" s="6">
        <v>0</v>
      </c>
      <c r="H404" s="6">
        <v>2952</v>
      </c>
      <c r="I404" s="6">
        <v>0</v>
      </c>
      <c r="J404" s="6">
        <v>0</v>
      </c>
      <c r="K404" s="130">
        <v>855</v>
      </c>
      <c r="L404" s="130">
        <v>648</v>
      </c>
      <c r="M404" s="356">
        <f t="shared" si="82"/>
        <v>0.7578947368421053</v>
      </c>
      <c r="N404" s="130">
        <f>L404</f>
        <v>648</v>
      </c>
      <c r="O404" s="130"/>
      <c r="P404" s="354"/>
      <c r="Q404" s="355">
        <v>0</v>
      </c>
      <c r="R404" s="356"/>
      <c r="S404" s="356"/>
      <c r="T404" s="492"/>
    </row>
    <row r="405" spans="1:20" s="167" customFormat="1" ht="15.75" customHeight="1">
      <c r="A405" s="516"/>
      <c r="B405" s="147" t="s">
        <v>281</v>
      </c>
      <c r="C405" s="130" t="s">
        <v>282</v>
      </c>
      <c r="D405" s="6"/>
      <c r="E405" s="6">
        <v>101199</v>
      </c>
      <c r="F405" s="6">
        <v>0</v>
      </c>
      <c r="G405" s="6">
        <v>0</v>
      </c>
      <c r="H405" s="6">
        <v>103850</v>
      </c>
      <c r="I405" s="6">
        <v>0</v>
      </c>
      <c r="J405" s="6">
        <v>0</v>
      </c>
      <c r="K405" s="130">
        <v>87955</v>
      </c>
      <c r="L405" s="130">
        <v>94508</v>
      </c>
      <c r="M405" s="356">
        <f t="shared" si="82"/>
        <v>1.0745040077312262</v>
      </c>
      <c r="N405" s="130">
        <f aca="true" t="shared" si="86" ref="N405:N426">L405</f>
        <v>94508</v>
      </c>
      <c r="O405" s="130">
        <v>0</v>
      </c>
      <c r="P405" s="354"/>
      <c r="Q405" s="355">
        <v>0</v>
      </c>
      <c r="R405" s="356"/>
      <c r="S405" s="356"/>
      <c r="T405" s="492"/>
    </row>
    <row r="406" spans="1:20" s="167" customFormat="1" ht="15.75" customHeight="1">
      <c r="A406" s="516"/>
      <c r="B406" s="147" t="s">
        <v>2</v>
      </c>
      <c r="C406" s="129" t="s">
        <v>397</v>
      </c>
      <c r="D406" s="6">
        <v>956632</v>
      </c>
      <c r="E406" s="6">
        <v>1089025</v>
      </c>
      <c r="F406" s="6">
        <v>0</v>
      </c>
      <c r="G406" s="6">
        <v>0</v>
      </c>
      <c r="H406" s="6">
        <v>335820</v>
      </c>
      <c r="I406" s="6">
        <v>0</v>
      </c>
      <c r="J406" s="6">
        <v>0</v>
      </c>
      <c r="K406" s="130">
        <v>443742</v>
      </c>
      <c r="L406" s="130">
        <v>465125</v>
      </c>
      <c r="M406" s="356">
        <f t="shared" si="82"/>
        <v>1.048187910993325</v>
      </c>
      <c r="N406" s="130">
        <f t="shared" si="86"/>
        <v>465125</v>
      </c>
      <c r="O406" s="130">
        <f>N406</f>
        <v>465125</v>
      </c>
      <c r="P406" s="354"/>
      <c r="Q406" s="355">
        <v>0</v>
      </c>
      <c r="R406" s="356"/>
      <c r="S406" s="356"/>
      <c r="T406" s="492"/>
    </row>
    <row r="407" spans="1:20" s="167" customFormat="1" ht="15" customHeight="1">
      <c r="A407" s="516"/>
      <c r="B407" s="147" t="s">
        <v>6</v>
      </c>
      <c r="C407" s="129" t="s">
        <v>7</v>
      </c>
      <c r="D407" s="7">
        <v>70520</v>
      </c>
      <c r="E407" s="6">
        <v>77400</v>
      </c>
      <c r="F407" s="6">
        <v>0</v>
      </c>
      <c r="G407" s="6">
        <v>0</v>
      </c>
      <c r="H407" s="6">
        <v>29155</v>
      </c>
      <c r="I407" s="6">
        <v>0</v>
      </c>
      <c r="J407" s="6">
        <v>0</v>
      </c>
      <c r="K407" s="130">
        <v>33919</v>
      </c>
      <c r="L407" s="130">
        <v>34400</v>
      </c>
      <c r="M407" s="356">
        <f t="shared" si="82"/>
        <v>1.0141808425955954</v>
      </c>
      <c r="N407" s="130">
        <f t="shared" si="86"/>
        <v>34400</v>
      </c>
      <c r="O407" s="130">
        <f>N407</f>
        <v>34400</v>
      </c>
      <c r="P407" s="354"/>
      <c r="Q407" s="355">
        <v>0</v>
      </c>
      <c r="R407" s="356"/>
      <c r="S407" s="356"/>
      <c r="T407" s="492"/>
    </row>
    <row r="408" spans="1:20" s="167" customFormat="1" ht="15" customHeight="1">
      <c r="A408" s="516"/>
      <c r="B408" s="519" t="s">
        <v>56</v>
      </c>
      <c r="C408" s="129" t="s">
        <v>70</v>
      </c>
      <c r="D408" s="6">
        <v>208573</v>
      </c>
      <c r="E408" s="6">
        <v>207904</v>
      </c>
      <c r="F408" s="6">
        <v>0</v>
      </c>
      <c r="G408" s="6">
        <v>0</v>
      </c>
      <c r="H408" s="6">
        <v>65200</v>
      </c>
      <c r="I408" s="6">
        <v>0</v>
      </c>
      <c r="J408" s="6">
        <v>0</v>
      </c>
      <c r="K408" s="130">
        <v>78364</v>
      </c>
      <c r="L408" s="130">
        <v>76078</v>
      </c>
      <c r="M408" s="356">
        <f t="shared" si="82"/>
        <v>0.9708284416313614</v>
      </c>
      <c r="N408" s="130">
        <f t="shared" si="86"/>
        <v>76078</v>
      </c>
      <c r="O408" s="130"/>
      <c r="P408" s="354">
        <f>N408</f>
        <v>76078</v>
      </c>
      <c r="Q408" s="355">
        <v>0</v>
      </c>
      <c r="R408" s="356"/>
      <c r="S408" s="356"/>
      <c r="T408" s="492"/>
    </row>
    <row r="409" spans="1:20" s="167" customFormat="1" ht="13.5" customHeight="1">
      <c r="A409" s="516"/>
      <c r="B409" s="519" t="s">
        <v>8</v>
      </c>
      <c r="C409" s="129" t="s">
        <v>9</v>
      </c>
      <c r="D409" s="6"/>
      <c r="E409" s="6">
        <v>27489</v>
      </c>
      <c r="F409" s="6">
        <v>0</v>
      </c>
      <c r="G409" s="6">
        <v>0</v>
      </c>
      <c r="H409" s="6">
        <v>8940</v>
      </c>
      <c r="I409" s="6">
        <v>0</v>
      </c>
      <c r="J409" s="6">
        <v>0</v>
      </c>
      <c r="K409" s="130">
        <v>10851</v>
      </c>
      <c r="L409" s="130">
        <v>10580</v>
      </c>
      <c r="M409" s="356">
        <f t="shared" si="82"/>
        <v>0.9750253432863331</v>
      </c>
      <c r="N409" s="130">
        <f t="shared" si="86"/>
        <v>10580</v>
      </c>
      <c r="O409" s="130"/>
      <c r="P409" s="354">
        <f>N409</f>
        <v>10580</v>
      </c>
      <c r="Q409" s="355">
        <v>0</v>
      </c>
      <c r="R409" s="356"/>
      <c r="S409" s="356"/>
      <c r="T409" s="492"/>
    </row>
    <row r="410" spans="1:20" s="167" customFormat="1" ht="13.5" customHeight="1">
      <c r="A410" s="516"/>
      <c r="B410" s="519" t="s">
        <v>735</v>
      </c>
      <c r="C410" s="129" t="s">
        <v>534</v>
      </c>
      <c r="D410" s="6"/>
      <c r="E410" s="6"/>
      <c r="F410" s="6"/>
      <c r="G410" s="6"/>
      <c r="H410" s="6"/>
      <c r="I410" s="6"/>
      <c r="J410" s="6"/>
      <c r="K410" s="130">
        <v>1600</v>
      </c>
      <c r="L410" s="130">
        <v>0</v>
      </c>
      <c r="M410" s="356">
        <f t="shared" si="82"/>
        <v>0</v>
      </c>
      <c r="N410" s="130">
        <f t="shared" si="86"/>
        <v>0</v>
      </c>
      <c r="O410" s="130">
        <f>N410</f>
        <v>0</v>
      </c>
      <c r="P410" s="354"/>
      <c r="Q410" s="355"/>
      <c r="R410" s="356"/>
      <c r="S410" s="356"/>
      <c r="T410" s="492"/>
    </row>
    <row r="411" spans="1:20" s="167" customFormat="1" ht="14.25" customHeight="1">
      <c r="A411" s="516"/>
      <c r="B411" s="147" t="s">
        <v>10</v>
      </c>
      <c r="C411" s="130" t="s">
        <v>141</v>
      </c>
      <c r="D411" s="6"/>
      <c r="E411" s="6">
        <v>96956</v>
      </c>
      <c r="F411" s="6">
        <v>0</v>
      </c>
      <c r="G411" s="6">
        <v>0</v>
      </c>
      <c r="H411" s="6">
        <v>36573</v>
      </c>
      <c r="I411" s="6">
        <v>0</v>
      </c>
      <c r="J411" s="6">
        <v>0</v>
      </c>
      <c r="K411" s="130">
        <v>170691</v>
      </c>
      <c r="L411" s="130">
        <v>52671</v>
      </c>
      <c r="M411" s="356">
        <f t="shared" si="82"/>
        <v>0.3085751445594671</v>
      </c>
      <c r="N411" s="130">
        <f t="shared" si="86"/>
        <v>52671</v>
      </c>
      <c r="O411" s="130">
        <v>0</v>
      </c>
      <c r="P411" s="354"/>
      <c r="Q411" s="355">
        <v>0</v>
      </c>
      <c r="R411" s="356"/>
      <c r="S411" s="356"/>
      <c r="T411" s="492"/>
    </row>
    <row r="412" spans="1:20" s="167" customFormat="1" ht="16.5" customHeight="1">
      <c r="A412" s="516"/>
      <c r="B412" s="147" t="s">
        <v>94</v>
      </c>
      <c r="C412" s="130" t="s">
        <v>283</v>
      </c>
      <c r="D412" s="6"/>
      <c r="E412" s="6">
        <v>188099</v>
      </c>
      <c r="F412" s="6">
        <v>0</v>
      </c>
      <c r="G412" s="6">
        <v>0</v>
      </c>
      <c r="H412" s="14">
        <v>50136</v>
      </c>
      <c r="I412" s="6">
        <v>0</v>
      </c>
      <c r="J412" s="6">
        <v>0</v>
      </c>
      <c r="K412" s="130">
        <v>65000</v>
      </c>
      <c r="L412" s="130">
        <v>75816</v>
      </c>
      <c r="M412" s="356">
        <f t="shared" si="82"/>
        <v>1.1664</v>
      </c>
      <c r="N412" s="130">
        <f t="shared" si="86"/>
        <v>75816</v>
      </c>
      <c r="O412" s="130">
        <v>0</v>
      </c>
      <c r="P412" s="354"/>
      <c r="Q412" s="355">
        <v>0</v>
      </c>
      <c r="R412" s="356"/>
      <c r="S412" s="356"/>
      <c r="T412" s="492"/>
    </row>
    <row r="413" spans="1:20" s="167" customFormat="1" ht="15.75" customHeight="1">
      <c r="A413" s="516"/>
      <c r="B413" s="147" t="s">
        <v>286</v>
      </c>
      <c r="C413" s="130" t="s">
        <v>287</v>
      </c>
      <c r="D413" s="6"/>
      <c r="E413" s="6"/>
      <c r="F413" s="6"/>
      <c r="G413" s="6"/>
      <c r="H413" s="14">
        <v>1500</v>
      </c>
      <c r="I413" s="6">
        <v>0</v>
      </c>
      <c r="J413" s="6">
        <v>0</v>
      </c>
      <c r="K413" s="130">
        <v>3600</v>
      </c>
      <c r="L413" s="130">
        <v>3960</v>
      </c>
      <c r="M413" s="356">
        <f t="shared" si="82"/>
        <v>1.1</v>
      </c>
      <c r="N413" s="130">
        <f t="shared" si="86"/>
        <v>3960</v>
      </c>
      <c r="O413" s="130">
        <v>0</v>
      </c>
      <c r="P413" s="354"/>
      <c r="Q413" s="355">
        <v>0</v>
      </c>
      <c r="R413" s="356"/>
      <c r="S413" s="356"/>
      <c r="T413" s="492"/>
    </row>
    <row r="414" spans="1:20" s="167" customFormat="1" ht="16.5" customHeight="1">
      <c r="A414" s="516"/>
      <c r="B414" s="147" t="s">
        <v>12</v>
      </c>
      <c r="C414" s="130" t="s">
        <v>97</v>
      </c>
      <c r="D414" s="6"/>
      <c r="E414" s="6">
        <v>82690</v>
      </c>
      <c r="F414" s="6">
        <v>0</v>
      </c>
      <c r="G414" s="6">
        <v>0</v>
      </c>
      <c r="H414" s="6">
        <v>63330</v>
      </c>
      <c r="I414" s="6">
        <v>0</v>
      </c>
      <c r="J414" s="6">
        <v>0</v>
      </c>
      <c r="K414" s="130">
        <v>88024</v>
      </c>
      <c r="L414" s="130">
        <v>89700</v>
      </c>
      <c r="M414" s="356">
        <f t="shared" si="82"/>
        <v>1.0190402617467964</v>
      </c>
      <c r="N414" s="130">
        <f t="shared" si="86"/>
        <v>89700</v>
      </c>
      <c r="O414" s="130">
        <v>0</v>
      </c>
      <c r="P414" s="354"/>
      <c r="Q414" s="355">
        <v>0</v>
      </c>
      <c r="R414" s="356"/>
      <c r="S414" s="356"/>
      <c r="T414" s="492"/>
    </row>
    <row r="415" spans="1:20" s="167" customFormat="1" ht="16.5" customHeight="1">
      <c r="A415" s="516"/>
      <c r="B415" s="147" t="s">
        <v>14</v>
      </c>
      <c r="C415" s="130" t="s">
        <v>98</v>
      </c>
      <c r="D415" s="6"/>
      <c r="E415" s="6"/>
      <c r="F415" s="6"/>
      <c r="G415" s="6"/>
      <c r="H415" s="6"/>
      <c r="I415" s="6"/>
      <c r="J415" s="6"/>
      <c r="K415" s="130">
        <v>24000</v>
      </c>
      <c r="L415" s="130">
        <v>0</v>
      </c>
      <c r="M415" s="356">
        <f t="shared" si="82"/>
        <v>0</v>
      </c>
      <c r="N415" s="130">
        <f t="shared" si="86"/>
        <v>0</v>
      </c>
      <c r="O415" s="130">
        <v>0</v>
      </c>
      <c r="P415" s="354"/>
      <c r="Q415" s="355"/>
      <c r="R415" s="356"/>
      <c r="S415" s="356"/>
      <c r="T415" s="492"/>
    </row>
    <row r="416" spans="1:20" s="167" customFormat="1" ht="16.5" customHeight="1">
      <c r="A416" s="516"/>
      <c r="B416" s="147" t="s">
        <v>76</v>
      </c>
      <c r="C416" s="130" t="s">
        <v>77</v>
      </c>
      <c r="D416" s="6"/>
      <c r="E416" s="6"/>
      <c r="F416" s="6"/>
      <c r="G416" s="6"/>
      <c r="H416" s="6"/>
      <c r="I416" s="6"/>
      <c r="J416" s="6"/>
      <c r="K416" s="130">
        <v>850</v>
      </c>
      <c r="L416" s="130">
        <v>200</v>
      </c>
      <c r="M416" s="356">
        <f t="shared" si="82"/>
        <v>0.23529411764705882</v>
      </c>
      <c r="N416" s="130">
        <f t="shared" si="86"/>
        <v>200</v>
      </c>
      <c r="O416" s="130">
        <v>0</v>
      </c>
      <c r="P416" s="354"/>
      <c r="Q416" s="355"/>
      <c r="R416" s="356"/>
      <c r="S416" s="356"/>
      <c r="T416" s="492"/>
    </row>
    <row r="417" spans="1:20" s="167" customFormat="1" ht="16.5" customHeight="1">
      <c r="A417" s="516"/>
      <c r="B417" s="147" t="s">
        <v>16</v>
      </c>
      <c r="C417" s="130" t="s">
        <v>99</v>
      </c>
      <c r="D417" s="6"/>
      <c r="E417" s="6">
        <v>39235</v>
      </c>
      <c r="F417" s="6">
        <v>0</v>
      </c>
      <c r="G417" s="6">
        <v>0</v>
      </c>
      <c r="H417" s="6">
        <v>8500</v>
      </c>
      <c r="I417" s="6">
        <v>0</v>
      </c>
      <c r="J417" s="6">
        <v>0</v>
      </c>
      <c r="K417" s="130">
        <v>23877</v>
      </c>
      <c r="L417" s="130">
        <v>15630</v>
      </c>
      <c r="M417" s="356">
        <f t="shared" si="82"/>
        <v>0.6546048498555095</v>
      </c>
      <c r="N417" s="130">
        <f t="shared" si="86"/>
        <v>15630</v>
      </c>
      <c r="O417" s="130">
        <v>0</v>
      </c>
      <c r="P417" s="354"/>
      <c r="Q417" s="355">
        <v>0</v>
      </c>
      <c r="R417" s="356"/>
      <c r="S417" s="356"/>
      <c r="T417" s="492"/>
    </row>
    <row r="418" spans="1:20" s="167" customFormat="1" ht="16.5" customHeight="1">
      <c r="A418" s="516"/>
      <c r="B418" s="147" t="s">
        <v>737</v>
      </c>
      <c r="C418" s="130" t="s">
        <v>393</v>
      </c>
      <c r="D418" s="6"/>
      <c r="E418" s="6"/>
      <c r="F418" s="6"/>
      <c r="G418" s="6"/>
      <c r="H418" s="6"/>
      <c r="I418" s="6"/>
      <c r="J418" s="6"/>
      <c r="K418" s="130">
        <v>1908</v>
      </c>
      <c r="L418" s="130">
        <v>1908</v>
      </c>
      <c r="M418" s="356">
        <f t="shared" si="82"/>
        <v>1</v>
      </c>
      <c r="N418" s="130">
        <f t="shared" si="86"/>
        <v>1908</v>
      </c>
      <c r="O418" s="130">
        <v>0</v>
      </c>
      <c r="P418" s="354"/>
      <c r="Q418" s="355">
        <v>0</v>
      </c>
      <c r="R418" s="356"/>
      <c r="S418" s="356"/>
      <c r="T418" s="492"/>
    </row>
    <row r="419" spans="1:20" s="167" customFormat="1" ht="16.5" customHeight="1">
      <c r="A419" s="516"/>
      <c r="B419" s="147" t="s">
        <v>316</v>
      </c>
      <c r="C419" s="129" t="s">
        <v>320</v>
      </c>
      <c r="D419" s="6"/>
      <c r="E419" s="6"/>
      <c r="F419" s="6"/>
      <c r="G419" s="6"/>
      <c r="H419" s="6"/>
      <c r="I419" s="6"/>
      <c r="J419" s="6"/>
      <c r="K419" s="130">
        <v>2800</v>
      </c>
      <c r="L419" s="130">
        <v>2900</v>
      </c>
      <c r="M419" s="356">
        <f t="shared" si="82"/>
        <v>1.0357142857142858</v>
      </c>
      <c r="N419" s="130">
        <f t="shared" si="86"/>
        <v>2900</v>
      </c>
      <c r="O419" s="130">
        <v>0</v>
      </c>
      <c r="P419" s="354"/>
      <c r="Q419" s="355"/>
      <c r="R419" s="356"/>
      <c r="S419" s="356"/>
      <c r="T419" s="492"/>
    </row>
    <row r="420" spans="1:20" s="167" customFormat="1" ht="16.5" customHeight="1">
      <c r="A420" s="516"/>
      <c r="B420" s="147" t="s">
        <v>18</v>
      </c>
      <c r="C420" s="130" t="s">
        <v>19</v>
      </c>
      <c r="D420" s="6"/>
      <c r="E420" s="6">
        <v>2500</v>
      </c>
      <c r="F420" s="6">
        <v>0</v>
      </c>
      <c r="G420" s="6">
        <v>0</v>
      </c>
      <c r="H420" s="6">
        <v>500</v>
      </c>
      <c r="I420" s="6">
        <v>0</v>
      </c>
      <c r="J420" s="6">
        <v>0</v>
      </c>
      <c r="K420" s="130">
        <v>3420</v>
      </c>
      <c r="L420" s="130">
        <v>3600</v>
      </c>
      <c r="M420" s="356">
        <f t="shared" si="82"/>
        <v>1.0526315789473684</v>
      </c>
      <c r="N420" s="130">
        <f t="shared" si="86"/>
        <v>3600</v>
      </c>
      <c r="O420" s="130">
        <v>0</v>
      </c>
      <c r="P420" s="354"/>
      <c r="Q420" s="355">
        <v>0</v>
      </c>
      <c r="R420" s="356"/>
      <c r="S420" s="356"/>
      <c r="T420" s="492"/>
    </row>
    <row r="421" spans="1:20" s="167" customFormat="1" ht="16.5" customHeight="1">
      <c r="A421" s="516"/>
      <c r="B421" s="147" t="s">
        <v>20</v>
      </c>
      <c r="C421" s="130" t="s">
        <v>21</v>
      </c>
      <c r="D421" s="6"/>
      <c r="E421" s="6">
        <v>3300</v>
      </c>
      <c r="F421" s="6">
        <v>0</v>
      </c>
      <c r="G421" s="6">
        <v>0</v>
      </c>
      <c r="H421" s="6">
        <v>700</v>
      </c>
      <c r="I421" s="6">
        <v>0</v>
      </c>
      <c r="J421" s="6">
        <v>0</v>
      </c>
      <c r="K421" s="130">
        <v>600</v>
      </c>
      <c r="L421" s="130">
        <v>720</v>
      </c>
      <c r="M421" s="356">
        <f t="shared" si="82"/>
        <v>1.2</v>
      </c>
      <c r="N421" s="130">
        <f t="shared" si="86"/>
        <v>720</v>
      </c>
      <c r="O421" s="130">
        <v>0</v>
      </c>
      <c r="P421" s="354"/>
      <c r="Q421" s="355">
        <v>0</v>
      </c>
      <c r="R421" s="356"/>
      <c r="S421" s="356"/>
      <c r="T421" s="492"/>
    </row>
    <row r="422" spans="1:20" s="167" customFormat="1" ht="15" customHeight="1">
      <c r="A422" s="516"/>
      <c r="B422" s="147" t="s">
        <v>22</v>
      </c>
      <c r="C422" s="130" t="s">
        <v>23</v>
      </c>
      <c r="D422" s="6"/>
      <c r="E422" s="6">
        <v>50719</v>
      </c>
      <c r="F422" s="6">
        <v>0</v>
      </c>
      <c r="G422" s="6">
        <v>0</v>
      </c>
      <c r="H422" s="6">
        <v>14000</v>
      </c>
      <c r="I422" s="6">
        <v>0</v>
      </c>
      <c r="J422" s="6">
        <v>0</v>
      </c>
      <c r="K422" s="130">
        <v>31130</v>
      </c>
      <c r="L422" s="130">
        <v>26056</v>
      </c>
      <c r="M422" s="356">
        <f t="shared" si="82"/>
        <v>0.8370061034371988</v>
      </c>
      <c r="N422" s="130">
        <f t="shared" si="86"/>
        <v>26056</v>
      </c>
      <c r="O422" s="130">
        <v>0</v>
      </c>
      <c r="P422" s="354"/>
      <c r="Q422" s="355">
        <v>0</v>
      </c>
      <c r="R422" s="356"/>
      <c r="S422" s="356"/>
      <c r="T422" s="492"/>
    </row>
    <row r="423" spans="1:20" s="167" customFormat="1" ht="15" customHeight="1">
      <c r="A423" s="516"/>
      <c r="B423" s="147" t="s">
        <v>317</v>
      </c>
      <c r="C423" s="129" t="s">
        <v>321</v>
      </c>
      <c r="D423" s="6"/>
      <c r="E423" s="6"/>
      <c r="F423" s="6"/>
      <c r="G423" s="6"/>
      <c r="H423" s="6"/>
      <c r="I423" s="6"/>
      <c r="J423" s="6"/>
      <c r="K423" s="130">
        <v>733</v>
      </c>
      <c r="L423" s="130">
        <v>1000</v>
      </c>
      <c r="M423" s="356">
        <f t="shared" si="82"/>
        <v>1.364256480218281</v>
      </c>
      <c r="N423" s="130">
        <f t="shared" si="86"/>
        <v>1000</v>
      </c>
      <c r="O423" s="130">
        <v>0</v>
      </c>
      <c r="P423" s="354"/>
      <c r="Q423" s="355"/>
      <c r="R423" s="356"/>
      <c r="S423" s="356"/>
      <c r="T423" s="492"/>
    </row>
    <row r="424" spans="1:20" s="167" customFormat="1" ht="15" customHeight="1">
      <c r="A424" s="516"/>
      <c r="B424" s="147" t="s">
        <v>318</v>
      </c>
      <c r="C424" s="129" t="s">
        <v>322</v>
      </c>
      <c r="D424" s="6"/>
      <c r="E424" s="6"/>
      <c r="F424" s="6"/>
      <c r="G424" s="6"/>
      <c r="H424" s="6"/>
      <c r="I424" s="6"/>
      <c r="J424" s="6"/>
      <c r="K424" s="130">
        <v>500</v>
      </c>
      <c r="L424" s="130">
        <v>500</v>
      </c>
      <c r="M424" s="356">
        <f t="shared" si="82"/>
        <v>1</v>
      </c>
      <c r="N424" s="130">
        <f t="shared" si="86"/>
        <v>500</v>
      </c>
      <c r="O424" s="130">
        <v>0</v>
      </c>
      <c r="P424" s="354"/>
      <c r="Q424" s="355"/>
      <c r="R424" s="356"/>
      <c r="S424" s="356"/>
      <c r="T424" s="492"/>
    </row>
    <row r="425" spans="1:20" s="167" customFormat="1" ht="15" customHeight="1">
      <c r="A425" s="516"/>
      <c r="B425" s="147" t="s">
        <v>319</v>
      </c>
      <c r="C425" s="129" t="s">
        <v>323</v>
      </c>
      <c r="D425" s="6"/>
      <c r="E425" s="6"/>
      <c r="F425" s="6"/>
      <c r="G425" s="6"/>
      <c r="H425" s="6"/>
      <c r="I425" s="6"/>
      <c r="J425" s="6"/>
      <c r="K425" s="130">
        <v>700</v>
      </c>
      <c r="L425" s="130">
        <v>1000</v>
      </c>
      <c r="M425" s="356">
        <f t="shared" si="82"/>
        <v>1.4285714285714286</v>
      </c>
      <c r="N425" s="130">
        <f t="shared" si="86"/>
        <v>1000</v>
      </c>
      <c r="O425" s="130">
        <v>0</v>
      </c>
      <c r="P425" s="354"/>
      <c r="Q425" s="355"/>
      <c r="R425" s="356"/>
      <c r="S425" s="356"/>
      <c r="T425" s="492"/>
    </row>
    <row r="426" spans="1:20" s="167" customFormat="1" ht="22.5" customHeight="1">
      <c r="A426" s="516"/>
      <c r="B426" s="147" t="s">
        <v>225</v>
      </c>
      <c r="C426" s="129" t="s">
        <v>540</v>
      </c>
      <c r="D426" s="6"/>
      <c r="E426" s="6"/>
      <c r="F426" s="6"/>
      <c r="G426" s="6"/>
      <c r="H426" s="6"/>
      <c r="I426" s="6"/>
      <c r="J426" s="6"/>
      <c r="K426" s="130">
        <v>299475</v>
      </c>
      <c r="L426" s="130">
        <v>181627</v>
      </c>
      <c r="M426" s="356">
        <f t="shared" si="82"/>
        <v>0.6064846815260039</v>
      </c>
      <c r="N426" s="130">
        <f t="shared" si="86"/>
        <v>181627</v>
      </c>
      <c r="O426" s="130">
        <v>0</v>
      </c>
      <c r="P426" s="354">
        <v>0</v>
      </c>
      <c r="Q426" s="355">
        <f>N426</f>
        <v>181627</v>
      </c>
      <c r="R426" s="356"/>
      <c r="S426" s="356"/>
      <c r="T426" s="492"/>
    </row>
    <row r="427" spans="1:20" s="167" customFormat="1" ht="18.75" customHeight="1">
      <c r="A427" s="513" t="s">
        <v>107</v>
      </c>
      <c r="B427" s="530"/>
      <c r="C427" s="327" t="s">
        <v>285</v>
      </c>
      <c r="D427" s="326">
        <f>D428+D429+D430+D431</f>
        <v>722000</v>
      </c>
      <c r="E427" s="326" t="e">
        <f>E428+E429+E430+E431+#REF!+E442+E432+E433+E434+E435+#REF!+E439+#REF!+E443+E444+E445</f>
        <v>#REF!</v>
      </c>
      <c r="F427" s="326" t="e">
        <f>F428+F429+F430+F431+#REF!+F442+F432+F433+F434+F435+#REF!+F439+#REF!+F443+F444+F445</f>
        <v>#REF!</v>
      </c>
      <c r="G427" s="326" t="e">
        <f>G428+G429+G430+G431+#REF!+G442+G432+G433+G434+G435+#REF!+G439+#REF!+G443+G444+G445</f>
        <v>#REF!</v>
      </c>
      <c r="H427" s="326" t="e">
        <f>H428+H429+H430+H431+#REF!+H442+H432+H433+H434+H435+H439+#REF!+H443+H444+H445+H448+H438</f>
        <v>#REF!</v>
      </c>
      <c r="I427" s="326" t="e">
        <f>I428+I429+I430+I431+#REF!+I442+I432+I433+I434+I435+I439+#REF!+I443+I444+I445+I448+I438</f>
        <v>#REF!</v>
      </c>
      <c r="J427" s="326" t="e">
        <f>J428+J429+J430+J431+#REF!+J442+J432+J433+J434+J435+J439+#REF!+J443+J444+J445+J448+J438</f>
        <v>#REF!</v>
      </c>
      <c r="K427" s="353">
        <f>SUM(K428:K449)</f>
        <v>1056193</v>
      </c>
      <c r="L427" s="353">
        <f>SUM(L428:L449)</f>
        <v>847800</v>
      </c>
      <c r="M427" s="539">
        <f t="shared" si="82"/>
        <v>0.8026942045629918</v>
      </c>
      <c r="N427" s="353">
        <f aca="true" t="shared" si="87" ref="N427:T427">SUM(N428:N449)</f>
        <v>847800</v>
      </c>
      <c r="O427" s="353">
        <f t="shared" si="87"/>
        <v>443097</v>
      </c>
      <c r="P427" s="353">
        <f t="shared" si="87"/>
        <v>62058</v>
      </c>
      <c r="Q427" s="353">
        <f t="shared" si="87"/>
        <v>0</v>
      </c>
      <c r="R427" s="353">
        <f t="shared" si="87"/>
        <v>0</v>
      </c>
      <c r="S427" s="353">
        <f t="shared" si="87"/>
        <v>0</v>
      </c>
      <c r="T427" s="491">
        <f t="shared" si="87"/>
        <v>0</v>
      </c>
    </row>
    <row r="428" spans="1:20" s="167" customFormat="1" ht="24" customHeight="1">
      <c r="A428" s="510"/>
      <c r="B428" s="147" t="s">
        <v>2</v>
      </c>
      <c r="C428" s="129" t="s">
        <v>3</v>
      </c>
      <c r="D428" s="6">
        <v>365300</v>
      </c>
      <c r="E428" s="6">
        <v>330000</v>
      </c>
      <c r="F428" s="6">
        <v>17400</v>
      </c>
      <c r="G428" s="6">
        <v>0</v>
      </c>
      <c r="H428" s="6">
        <v>350982</v>
      </c>
      <c r="I428" s="6">
        <v>0</v>
      </c>
      <c r="J428" s="6">
        <v>0</v>
      </c>
      <c r="K428" s="130">
        <v>368990</v>
      </c>
      <c r="L428" s="130">
        <v>412897</v>
      </c>
      <c r="M428" s="356">
        <f t="shared" si="82"/>
        <v>1.1189923846174694</v>
      </c>
      <c r="N428" s="130">
        <f>L428</f>
        <v>412897</v>
      </c>
      <c r="O428" s="130">
        <f>N428</f>
        <v>412897</v>
      </c>
      <c r="P428" s="354"/>
      <c r="Q428" s="355">
        <v>0</v>
      </c>
      <c r="R428" s="356"/>
      <c r="S428" s="356"/>
      <c r="T428" s="492"/>
    </row>
    <row r="429" spans="1:20" s="167" customFormat="1" ht="17.25" customHeight="1">
      <c r="A429" s="510"/>
      <c r="B429" s="147" t="s">
        <v>6</v>
      </c>
      <c r="C429" s="129" t="s">
        <v>7</v>
      </c>
      <c r="D429" s="6">
        <v>30580</v>
      </c>
      <c r="E429" s="6">
        <v>31050</v>
      </c>
      <c r="F429" s="6">
        <v>0</v>
      </c>
      <c r="G429" s="6">
        <v>0</v>
      </c>
      <c r="H429" s="6">
        <v>23796</v>
      </c>
      <c r="I429" s="6">
        <v>0</v>
      </c>
      <c r="J429" s="6">
        <v>0</v>
      </c>
      <c r="K429" s="130">
        <v>30088</v>
      </c>
      <c r="L429" s="130">
        <v>30200</v>
      </c>
      <c r="M429" s="356">
        <f t="shared" si="82"/>
        <v>1.0037224142515289</v>
      </c>
      <c r="N429" s="130">
        <f aca="true" t="shared" si="88" ref="N429:N447">L429</f>
        <v>30200</v>
      </c>
      <c r="O429" s="130">
        <f>N429</f>
        <v>30200</v>
      </c>
      <c r="P429" s="354"/>
      <c r="Q429" s="355">
        <v>0</v>
      </c>
      <c r="R429" s="356"/>
      <c r="S429" s="356"/>
      <c r="T429" s="492"/>
    </row>
    <row r="430" spans="1:20" s="167" customFormat="1" ht="18" customHeight="1">
      <c r="A430" s="510"/>
      <c r="B430" s="519" t="s">
        <v>56</v>
      </c>
      <c r="C430" s="129" t="s">
        <v>70</v>
      </c>
      <c r="D430" s="6">
        <v>77860</v>
      </c>
      <c r="E430" s="6">
        <v>64495</v>
      </c>
      <c r="F430" s="6">
        <v>0</v>
      </c>
      <c r="G430" s="6">
        <v>0</v>
      </c>
      <c r="H430" s="6">
        <v>73896</v>
      </c>
      <c r="I430" s="6">
        <v>0</v>
      </c>
      <c r="J430" s="6">
        <v>0</v>
      </c>
      <c r="K430" s="130">
        <v>68809</v>
      </c>
      <c r="L430" s="130">
        <v>52292</v>
      </c>
      <c r="M430" s="356">
        <f t="shared" si="82"/>
        <v>0.7599587263294045</v>
      </c>
      <c r="N430" s="130">
        <f t="shared" si="88"/>
        <v>52292</v>
      </c>
      <c r="O430" s="130">
        <v>0</v>
      </c>
      <c r="P430" s="354">
        <f>N430</f>
        <v>52292</v>
      </c>
      <c r="Q430" s="355">
        <v>0</v>
      </c>
      <c r="R430" s="356"/>
      <c r="S430" s="356"/>
      <c r="T430" s="492"/>
    </row>
    <row r="431" spans="1:20" s="167" customFormat="1" ht="15.75" customHeight="1">
      <c r="A431" s="510"/>
      <c r="B431" s="147" t="s">
        <v>8</v>
      </c>
      <c r="C431" s="130" t="s">
        <v>9</v>
      </c>
      <c r="D431" s="6">
        <v>248260</v>
      </c>
      <c r="E431" s="6">
        <v>8850</v>
      </c>
      <c r="F431" s="6">
        <v>0</v>
      </c>
      <c r="G431" s="6">
        <v>0</v>
      </c>
      <c r="H431" s="6">
        <v>9182</v>
      </c>
      <c r="I431" s="6">
        <v>0</v>
      </c>
      <c r="J431" s="6">
        <v>0</v>
      </c>
      <c r="K431" s="130">
        <v>9510</v>
      </c>
      <c r="L431" s="130">
        <v>9766</v>
      </c>
      <c r="M431" s="356">
        <f t="shared" si="82"/>
        <v>1.0269190325972661</v>
      </c>
      <c r="N431" s="130">
        <f t="shared" si="88"/>
        <v>9766</v>
      </c>
      <c r="O431" s="130">
        <v>0</v>
      </c>
      <c r="P431" s="354">
        <f>N431</f>
        <v>9766</v>
      </c>
      <c r="Q431" s="355">
        <v>0</v>
      </c>
      <c r="R431" s="356"/>
      <c r="S431" s="356"/>
      <c r="T431" s="492"/>
    </row>
    <row r="432" spans="1:20" s="167" customFormat="1" ht="15.75" customHeight="1">
      <c r="A432" s="510"/>
      <c r="B432" s="147" t="s">
        <v>10</v>
      </c>
      <c r="C432" s="130" t="s">
        <v>141</v>
      </c>
      <c r="D432" s="6"/>
      <c r="E432" s="6">
        <v>6795</v>
      </c>
      <c r="F432" s="6">
        <v>474</v>
      </c>
      <c r="G432" s="6">
        <v>0</v>
      </c>
      <c r="H432" s="14">
        <v>21937</v>
      </c>
      <c r="I432" s="6">
        <v>0</v>
      </c>
      <c r="J432" s="6">
        <v>0</v>
      </c>
      <c r="K432" s="130">
        <v>172669</v>
      </c>
      <c r="L432" s="130">
        <v>89014</v>
      </c>
      <c r="M432" s="356">
        <f t="shared" si="82"/>
        <v>0.5155181300638795</v>
      </c>
      <c r="N432" s="130">
        <f t="shared" si="88"/>
        <v>89014</v>
      </c>
      <c r="O432" s="130">
        <v>0</v>
      </c>
      <c r="P432" s="354"/>
      <c r="Q432" s="355">
        <v>0</v>
      </c>
      <c r="R432" s="356"/>
      <c r="S432" s="356"/>
      <c r="T432" s="492"/>
    </row>
    <row r="433" spans="1:20" s="167" customFormat="1" ht="16.5" customHeight="1">
      <c r="A433" s="510"/>
      <c r="B433" s="147" t="s">
        <v>94</v>
      </c>
      <c r="C433" s="130" t="s">
        <v>283</v>
      </c>
      <c r="D433" s="6"/>
      <c r="E433" s="6">
        <v>40000</v>
      </c>
      <c r="F433" s="6">
        <v>10000</v>
      </c>
      <c r="G433" s="6">
        <v>0</v>
      </c>
      <c r="H433" s="14">
        <v>76000</v>
      </c>
      <c r="I433" s="6">
        <v>0</v>
      </c>
      <c r="J433" s="6">
        <v>0</v>
      </c>
      <c r="K433" s="130">
        <v>2000</v>
      </c>
      <c r="L433" s="130">
        <v>2000</v>
      </c>
      <c r="M433" s="356">
        <f t="shared" si="82"/>
        <v>1</v>
      </c>
      <c r="N433" s="130">
        <f t="shared" si="88"/>
        <v>2000</v>
      </c>
      <c r="O433" s="130">
        <v>0</v>
      </c>
      <c r="P433" s="354"/>
      <c r="Q433" s="355">
        <v>0</v>
      </c>
      <c r="R433" s="356"/>
      <c r="S433" s="356"/>
      <c r="T433" s="492"/>
    </row>
    <row r="434" spans="1:20" s="167" customFormat="1" ht="16.5" customHeight="1">
      <c r="A434" s="510"/>
      <c r="B434" s="147" t="s">
        <v>286</v>
      </c>
      <c r="C434" s="130" t="s">
        <v>287</v>
      </c>
      <c r="D434" s="6"/>
      <c r="E434" s="6">
        <v>4000</v>
      </c>
      <c r="F434" s="6">
        <v>0</v>
      </c>
      <c r="G434" s="6">
        <v>0</v>
      </c>
      <c r="H434" s="14">
        <v>5800</v>
      </c>
      <c r="I434" s="6">
        <v>0</v>
      </c>
      <c r="J434" s="6">
        <v>0</v>
      </c>
      <c r="K434" s="130">
        <v>10500</v>
      </c>
      <c r="L434" s="130">
        <v>9400</v>
      </c>
      <c r="M434" s="356">
        <f t="shared" si="82"/>
        <v>0.8952380952380953</v>
      </c>
      <c r="N434" s="130">
        <f t="shared" si="88"/>
        <v>9400</v>
      </c>
      <c r="O434" s="130">
        <v>0</v>
      </c>
      <c r="P434" s="354"/>
      <c r="Q434" s="355">
        <v>0</v>
      </c>
      <c r="R434" s="356"/>
      <c r="S434" s="356"/>
      <c r="T434" s="492"/>
    </row>
    <row r="435" spans="1:20" s="167" customFormat="1" ht="14.25" customHeight="1">
      <c r="A435" s="510"/>
      <c r="B435" s="147" t="s">
        <v>12</v>
      </c>
      <c r="C435" s="130" t="s">
        <v>97</v>
      </c>
      <c r="D435" s="6"/>
      <c r="E435" s="6">
        <v>62480</v>
      </c>
      <c r="F435" s="6">
        <v>4000</v>
      </c>
      <c r="G435" s="6">
        <v>0</v>
      </c>
      <c r="H435" s="14">
        <v>89314</v>
      </c>
      <c r="I435" s="6">
        <v>0</v>
      </c>
      <c r="J435" s="6">
        <v>0</v>
      </c>
      <c r="K435" s="130">
        <v>70000</v>
      </c>
      <c r="L435" s="130">
        <v>50000</v>
      </c>
      <c r="M435" s="356">
        <f t="shared" si="82"/>
        <v>0.7142857142857143</v>
      </c>
      <c r="N435" s="130">
        <f t="shared" si="88"/>
        <v>50000</v>
      </c>
      <c r="O435" s="130">
        <v>0</v>
      </c>
      <c r="P435" s="354"/>
      <c r="Q435" s="355">
        <v>0</v>
      </c>
      <c r="R435" s="356"/>
      <c r="S435" s="356"/>
      <c r="T435" s="492"/>
    </row>
    <row r="436" spans="1:20" s="167" customFormat="1" ht="14.25" customHeight="1">
      <c r="A436" s="510"/>
      <c r="B436" s="147" t="s">
        <v>14</v>
      </c>
      <c r="C436" s="130" t="s">
        <v>98</v>
      </c>
      <c r="D436" s="6"/>
      <c r="E436" s="6"/>
      <c r="F436" s="6"/>
      <c r="G436" s="6"/>
      <c r="H436" s="14"/>
      <c r="I436" s="6"/>
      <c r="J436" s="6"/>
      <c r="K436" s="130">
        <v>25000</v>
      </c>
      <c r="L436" s="130">
        <v>0</v>
      </c>
      <c r="M436" s="356">
        <f t="shared" si="82"/>
        <v>0</v>
      </c>
      <c r="N436" s="130">
        <f t="shared" si="88"/>
        <v>0</v>
      </c>
      <c r="O436" s="130">
        <v>0</v>
      </c>
      <c r="P436" s="354"/>
      <c r="Q436" s="355"/>
      <c r="R436" s="356"/>
      <c r="S436" s="356"/>
      <c r="T436" s="492"/>
    </row>
    <row r="437" spans="1:20" s="167" customFormat="1" ht="14.25" customHeight="1">
      <c r="A437" s="510"/>
      <c r="B437" s="147" t="s">
        <v>76</v>
      </c>
      <c r="C437" s="130" t="s">
        <v>77</v>
      </c>
      <c r="D437" s="6"/>
      <c r="E437" s="6"/>
      <c r="F437" s="6"/>
      <c r="G437" s="6"/>
      <c r="H437" s="14"/>
      <c r="I437" s="6"/>
      <c r="J437" s="6"/>
      <c r="K437" s="130">
        <v>400</v>
      </c>
      <c r="L437" s="130">
        <v>300</v>
      </c>
      <c r="M437" s="356">
        <f t="shared" si="82"/>
        <v>0.75</v>
      </c>
      <c r="N437" s="130">
        <f t="shared" si="88"/>
        <v>300</v>
      </c>
      <c r="O437" s="130">
        <v>0</v>
      </c>
      <c r="P437" s="354"/>
      <c r="Q437" s="355"/>
      <c r="R437" s="356"/>
      <c r="S437" s="356"/>
      <c r="T437" s="492"/>
    </row>
    <row r="438" spans="1:20" s="167" customFormat="1" ht="14.25" customHeight="1">
      <c r="A438" s="510"/>
      <c r="B438" s="147" t="s">
        <v>737</v>
      </c>
      <c r="C438" s="130" t="s">
        <v>738</v>
      </c>
      <c r="D438" s="6"/>
      <c r="E438" s="6"/>
      <c r="F438" s="6"/>
      <c r="G438" s="6"/>
      <c r="H438" s="14">
        <v>7119</v>
      </c>
      <c r="I438" s="6">
        <v>0</v>
      </c>
      <c r="J438" s="6">
        <v>0</v>
      </c>
      <c r="K438" s="130">
        <v>800</v>
      </c>
      <c r="L438" s="130">
        <v>1000</v>
      </c>
      <c r="M438" s="356">
        <f t="shared" si="82"/>
        <v>1.25</v>
      </c>
      <c r="N438" s="130">
        <f t="shared" si="88"/>
        <v>1000</v>
      </c>
      <c r="O438" s="130">
        <v>0</v>
      </c>
      <c r="P438" s="354"/>
      <c r="Q438" s="355">
        <v>0</v>
      </c>
      <c r="R438" s="356"/>
      <c r="S438" s="356"/>
      <c r="T438" s="492"/>
    </row>
    <row r="439" spans="1:20" s="167" customFormat="1" ht="15.75" customHeight="1">
      <c r="A439" s="510"/>
      <c r="B439" s="147" t="s">
        <v>16</v>
      </c>
      <c r="C439" s="130" t="s">
        <v>99</v>
      </c>
      <c r="D439" s="6"/>
      <c r="E439" s="6">
        <v>5000</v>
      </c>
      <c r="F439" s="6">
        <v>0</v>
      </c>
      <c r="G439" s="6">
        <v>0</v>
      </c>
      <c r="H439" s="14">
        <v>32500</v>
      </c>
      <c r="I439" s="6">
        <v>0</v>
      </c>
      <c r="J439" s="6">
        <v>0</v>
      </c>
      <c r="K439" s="130">
        <v>193900</v>
      </c>
      <c r="L439" s="130">
        <v>165500</v>
      </c>
      <c r="M439" s="356">
        <f t="shared" si="82"/>
        <v>0.8535327488396081</v>
      </c>
      <c r="N439" s="130">
        <f t="shared" si="88"/>
        <v>165500</v>
      </c>
      <c r="O439" s="130">
        <v>0</v>
      </c>
      <c r="P439" s="354"/>
      <c r="Q439" s="355">
        <v>0</v>
      </c>
      <c r="R439" s="356"/>
      <c r="S439" s="356"/>
      <c r="T439" s="492"/>
    </row>
    <row r="440" spans="1:20" s="167" customFormat="1" ht="15.75" customHeight="1">
      <c r="A440" s="510"/>
      <c r="B440" s="147" t="s">
        <v>324</v>
      </c>
      <c r="C440" s="129" t="s">
        <v>326</v>
      </c>
      <c r="D440" s="6"/>
      <c r="E440" s="6"/>
      <c r="F440" s="6"/>
      <c r="G440" s="6"/>
      <c r="H440" s="14"/>
      <c r="I440" s="6"/>
      <c r="J440" s="6"/>
      <c r="K440" s="130">
        <v>700</v>
      </c>
      <c r="L440" s="130">
        <v>700</v>
      </c>
      <c r="M440" s="356">
        <f t="shared" si="82"/>
        <v>1</v>
      </c>
      <c r="N440" s="130">
        <f t="shared" si="88"/>
        <v>700</v>
      </c>
      <c r="O440" s="130">
        <v>0</v>
      </c>
      <c r="P440" s="354"/>
      <c r="Q440" s="355"/>
      <c r="R440" s="356"/>
      <c r="S440" s="356"/>
      <c r="T440" s="492"/>
    </row>
    <row r="441" spans="1:20" s="167" customFormat="1" ht="15.75" customHeight="1">
      <c r="A441" s="510"/>
      <c r="B441" s="147" t="s">
        <v>316</v>
      </c>
      <c r="C441" s="129" t="s">
        <v>320</v>
      </c>
      <c r="D441" s="6"/>
      <c r="E441" s="6"/>
      <c r="F441" s="6"/>
      <c r="G441" s="6"/>
      <c r="H441" s="14"/>
      <c r="I441" s="6"/>
      <c r="J441" s="6"/>
      <c r="K441" s="130">
        <v>3200</v>
      </c>
      <c r="L441" s="130">
        <v>2500</v>
      </c>
      <c r="M441" s="356">
        <f t="shared" si="82"/>
        <v>0.78125</v>
      </c>
      <c r="N441" s="130">
        <f t="shared" si="88"/>
        <v>2500</v>
      </c>
      <c r="O441" s="130">
        <v>0</v>
      </c>
      <c r="P441" s="354"/>
      <c r="Q441" s="355"/>
      <c r="R441" s="356"/>
      <c r="S441" s="356"/>
      <c r="T441" s="492"/>
    </row>
    <row r="442" spans="1:20" s="167" customFormat="1" ht="15.75" customHeight="1">
      <c r="A442" s="510"/>
      <c r="B442" s="147" t="s">
        <v>18</v>
      </c>
      <c r="C442" s="130" t="s">
        <v>19</v>
      </c>
      <c r="D442" s="6"/>
      <c r="E442" s="6">
        <v>1000</v>
      </c>
      <c r="F442" s="6">
        <v>0</v>
      </c>
      <c r="G442" s="6">
        <v>0</v>
      </c>
      <c r="H442" s="14">
        <v>1050</v>
      </c>
      <c r="I442" s="6">
        <v>0</v>
      </c>
      <c r="J442" s="6">
        <v>0</v>
      </c>
      <c r="K442" s="130">
        <v>800</v>
      </c>
      <c r="L442" s="130">
        <v>1000</v>
      </c>
      <c r="M442" s="356">
        <f t="shared" si="82"/>
        <v>1.25</v>
      </c>
      <c r="N442" s="130">
        <f t="shared" si="88"/>
        <v>1000</v>
      </c>
      <c r="O442" s="130">
        <v>0</v>
      </c>
      <c r="P442" s="354"/>
      <c r="Q442" s="355">
        <v>0</v>
      </c>
      <c r="R442" s="356"/>
      <c r="S442" s="356"/>
      <c r="T442" s="492"/>
    </row>
    <row r="443" spans="1:20" s="167" customFormat="1" ht="15.75" customHeight="1">
      <c r="A443" s="510"/>
      <c r="B443" s="147" t="s">
        <v>22</v>
      </c>
      <c r="C443" s="130" t="s">
        <v>23</v>
      </c>
      <c r="D443" s="6"/>
      <c r="E443" s="6">
        <v>13110</v>
      </c>
      <c r="F443" s="6">
        <v>0</v>
      </c>
      <c r="G443" s="6">
        <v>0</v>
      </c>
      <c r="H443" s="6">
        <v>14000</v>
      </c>
      <c r="I443" s="6">
        <v>0</v>
      </c>
      <c r="J443" s="6">
        <v>0</v>
      </c>
      <c r="K443" s="130">
        <v>16941</v>
      </c>
      <c r="L443" s="130">
        <v>17196</v>
      </c>
      <c r="M443" s="356">
        <f t="shared" si="82"/>
        <v>1.0150522401275013</v>
      </c>
      <c r="N443" s="130">
        <f t="shared" si="88"/>
        <v>17196</v>
      </c>
      <c r="O443" s="130">
        <v>0</v>
      </c>
      <c r="P443" s="354"/>
      <c r="Q443" s="355">
        <v>0</v>
      </c>
      <c r="R443" s="356"/>
      <c r="S443" s="356"/>
      <c r="T443" s="492"/>
    </row>
    <row r="444" spans="1:20" s="167" customFormat="1" ht="16.5" customHeight="1">
      <c r="A444" s="510"/>
      <c r="B444" s="147" t="s">
        <v>38</v>
      </c>
      <c r="C444" s="130" t="s">
        <v>39</v>
      </c>
      <c r="D444" s="6"/>
      <c r="E444" s="6">
        <v>1000</v>
      </c>
      <c r="F444" s="6">
        <v>0</v>
      </c>
      <c r="G444" s="6">
        <v>60</v>
      </c>
      <c r="H444" s="6">
        <v>1896</v>
      </c>
      <c r="I444" s="6">
        <v>0</v>
      </c>
      <c r="J444" s="6">
        <v>0</v>
      </c>
      <c r="K444" s="130">
        <v>2372</v>
      </c>
      <c r="L444" s="130">
        <v>2609</v>
      </c>
      <c r="M444" s="356">
        <f t="shared" si="82"/>
        <v>1.0999156829679595</v>
      </c>
      <c r="N444" s="130">
        <f t="shared" si="88"/>
        <v>2609</v>
      </c>
      <c r="O444" s="130">
        <v>0</v>
      </c>
      <c r="P444" s="354"/>
      <c r="Q444" s="355">
        <v>0</v>
      </c>
      <c r="R444" s="356"/>
      <c r="S444" s="356"/>
      <c r="T444" s="492"/>
    </row>
    <row r="445" spans="1:20" s="167" customFormat="1" ht="16.5" customHeight="1">
      <c r="A445" s="510"/>
      <c r="B445" s="147" t="s">
        <v>102</v>
      </c>
      <c r="C445" s="130" t="s">
        <v>103</v>
      </c>
      <c r="D445" s="6"/>
      <c r="E445" s="6">
        <v>500</v>
      </c>
      <c r="F445" s="6">
        <v>0</v>
      </c>
      <c r="G445" s="6">
        <v>70</v>
      </c>
      <c r="H445" s="6">
        <v>427</v>
      </c>
      <c r="I445" s="6">
        <v>0</v>
      </c>
      <c r="J445" s="6">
        <v>0</v>
      </c>
      <c r="K445" s="130">
        <v>426</v>
      </c>
      <c r="L445" s="130">
        <v>426</v>
      </c>
      <c r="M445" s="356">
        <f t="shared" si="82"/>
        <v>1</v>
      </c>
      <c r="N445" s="130">
        <f t="shared" si="88"/>
        <v>426</v>
      </c>
      <c r="O445" s="130">
        <v>0</v>
      </c>
      <c r="P445" s="354"/>
      <c r="Q445" s="355">
        <v>0</v>
      </c>
      <c r="R445" s="356"/>
      <c r="S445" s="356"/>
      <c r="T445" s="492"/>
    </row>
    <row r="446" spans="1:20" s="167" customFormat="1" ht="22.5" customHeight="1">
      <c r="A446" s="510"/>
      <c r="B446" s="147" t="s">
        <v>317</v>
      </c>
      <c r="C446" s="129" t="s">
        <v>321</v>
      </c>
      <c r="D446" s="6"/>
      <c r="E446" s="6"/>
      <c r="F446" s="6"/>
      <c r="G446" s="6"/>
      <c r="H446" s="6"/>
      <c r="I446" s="6"/>
      <c r="J446" s="6"/>
      <c r="K446" s="130">
        <v>800</v>
      </c>
      <c r="L446" s="130">
        <v>800</v>
      </c>
      <c r="M446" s="356">
        <f t="shared" si="82"/>
        <v>1</v>
      </c>
      <c r="N446" s="130">
        <f t="shared" si="88"/>
        <v>800</v>
      </c>
      <c r="O446" s="130">
        <v>0</v>
      </c>
      <c r="P446" s="354"/>
      <c r="Q446" s="355"/>
      <c r="R446" s="356"/>
      <c r="S446" s="356"/>
      <c r="T446" s="492"/>
    </row>
    <row r="447" spans="1:20" s="167" customFormat="1" ht="16.5" customHeight="1">
      <c r="A447" s="510"/>
      <c r="B447" s="147" t="s">
        <v>318</v>
      </c>
      <c r="C447" s="129" t="s">
        <v>322</v>
      </c>
      <c r="D447" s="6"/>
      <c r="E447" s="6"/>
      <c r="F447" s="6"/>
      <c r="G447" s="6"/>
      <c r="H447" s="6"/>
      <c r="I447" s="6"/>
      <c r="J447" s="6"/>
      <c r="K447" s="130">
        <v>100</v>
      </c>
      <c r="L447" s="130">
        <v>200</v>
      </c>
      <c r="M447" s="356">
        <f t="shared" si="82"/>
        <v>2</v>
      </c>
      <c r="N447" s="130">
        <f t="shared" si="88"/>
        <v>200</v>
      </c>
      <c r="O447" s="130">
        <v>0</v>
      </c>
      <c r="P447" s="354"/>
      <c r="Q447" s="355"/>
      <c r="R447" s="356"/>
      <c r="S447" s="356"/>
      <c r="T447" s="492"/>
    </row>
    <row r="448" spans="1:20" s="167" customFormat="1" ht="15.75" customHeight="1">
      <c r="A448" s="510"/>
      <c r="B448" s="147" t="s">
        <v>40</v>
      </c>
      <c r="C448" s="130" t="s">
        <v>856</v>
      </c>
      <c r="D448" s="6"/>
      <c r="E448" s="6"/>
      <c r="F448" s="6"/>
      <c r="G448" s="6"/>
      <c r="H448" s="6">
        <v>126026</v>
      </c>
      <c r="I448" s="6">
        <v>0</v>
      </c>
      <c r="J448" s="6">
        <v>0</v>
      </c>
      <c r="K448" s="130">
        <v>73188</v>
      </c>
      <c r="L448" s="130">
        <v>0</v>
      </c>
      <c r="M448" s="356">
        <f t="shared" si="82"/>
        <v>0</v>
      </c>
      <c r="N448" s="130"/>
      <c r="O448" s="130">
        <v>0</v>
      </c>
      <c r="P448" s="354"/>
      <c r="Q448" s="355">
        <v>0</v>
      </c>
      <c r="R448" s="356"/>
      <c r="S448" s="356"/>
      <c r="T448" s="498">
        <f>L448</f>
        <v>0</v>
      </c>
    </row>
    <row r="449" spans="1:20" s="167" customFormat="1" ht="15" customHeight="1">
      <c r="A449" s="510"/>
      <c r="B449" s="147" t="s">
        <v>42</v>
      </c>
      <c r="C449" s="130" t="s">
        <v>857</v>
      </c>
      <c r="D449" s="6"/>
      <c r="E449" s="6"/>
      <c r="F449" s="6"/>
      <c r="G449" s="6"/>
      <c r="H449" s="6"/>
      <c r="I449" s="6"/>
      <c r="J449" s="6"/>
      <c r="K449" s="130">
        <v>5000</v>
      </c>
      <c r="L449" s="130">
        <v>0</v>
      </c>
      <c r="M449" s="356">
        <f t="shared" si="82"/>
        <v>0</v>
      </c>
      <c r="N449" s="130"/>
      <c r="O449" s="130">
        <v>0</v>
      </c>
      <c r="P449" s="354"/>
      <c r="Q449" s="355">
        <v>0</v>
      </c>
      <c r="R449" s="356"/>
      <c r="S449" s="356"/>
      <c r="T449" s="498">
        <f>L449</f>
        <v>0</v>
      </c>
    </row>
    <row r="450" spans="1:20" s="167" customFormat="1" ht="21.75" customHeight="1">
      <c r="A450" s="508" t="s">
        <v>302</v>
      </c>
      <c r="B450" s="530"/>
      <c r="C450" s="353" t="s">
        <v>640</v>
      </c>
      <c r="D450" s="326"/>
      <c r="E450" s="326"/>
      <c r="F450" s="326"/>
      <c r="G450" s="326"/>
      <c r="H450" s="326"/>
      <c r="I450" s="326"/>
      <c r="J450" s="326"/>
      <c r="K450" s="353">
        <f>SUM(K451:K456)</f>
        <v>235666</v>
      </c>
      <c r="L450" s="353">
        <f>SUM(L451:L457)</f>
        <v>11618</v>
      </c>
      <c r="M450" s="539">
        <f t="shared" si="82"/>
        <v>0.04929858358863816</v>
      </c>
      <c r="N450" s="353">
        <f aca="true" t="shared" si="89" ref="N450:T450">SUM(N451:N457)</f>
        <v>11618</v>
      </c>
      <c r="O450" s="353">
        <f t="shared" si="89"/>
        <v>9324</v>
      </c>
      <c r="P450" s="353">
        <f t="shared" si="89"/>
        <v>1912</v>
      </c>
      <c r="Q450" s="353">
        <f t="shared" si="89"/>
        <v>0</v>
      </c>
      <c r="R450" s="353">
        <f t="shared" si="89"/>
        <v>0</v>
      </c>
      <c r="S450" s="353">
        <f t="shared" si="89"/>
        <v>0</v>
      </c>
      <c r="T450" s="491">
        <f t="shared" si="89"/>
        <v>0</v>
      </c>
    </row>
    <row r="451" spans="1:20" s="167" customFormat="1" ht="21" customHeight="1">
      <c r="A451" s="510"/>
      <c r="B451" s="147" t="s">
        <v>2</v>
      </c>
      <c r="C451" s="129" t="s">
        <v>3</v>
      </c>
      <c r="D451" s="6"/>
      <c r="E451" s="6"/>
      <c r="F451" s="6"/>
      <c r="G451" s="6"/>
      <c r="H451" s="6"/>
      <c r="I451" s="6"/>
      <c r="J451" s="6"/>
      <c r="K451" s="130">
        <v>6000</v>
      </c>
      <c r="L451" s="130">
        <v>9324</v>
      </c>
      <c r="M451" s="356">
        <f t="shared" si="82"/>
        <v>1.554</v>
      </c>
      <c r="N451" s="130">
        <f>L451</f>
        <v>9324</v>
      </c>
      <c r="O451" s="130">
        <f>N451</f>
        <v>9324</v>
      </c>
      <c r="P451" s="354"/>
      <c r="Q451" s="355">
        <v>0</v>
      </c>
      <c r="R451" s="356"/>
      <c r="S451" s="356"/>
      <c r="T451" s="492"/>
    </row>
    <row r="452" spans="1:20" s="167" customFormat="1" ht="15" customHeight="1">
      <c r="A452" s="510"/>
      <c r="B452" s="147" t="s">
        <v>33</v>
      </c>
      <c r="C452" s="129" t="s">
        <v>70</v>
      </c>
      <c r="D452" s="6"/>
      <c r="E452" s="6"/>
      <c r="F452" s="6"/>
      <c r="G452" s="6"/>
      <c r="H452" s="6"/>
      <c r="I452" s="6"/>
      <c r="J452" s="6"/>
      <c r="K452" s="130">
        <v>1084</v>
      </c>
      <c r="L452" s="130">
        <v>1684</v>
      </c>
      <c r="M452" s="356">
        <f t="shared" si="82"/>
        <v>1.5535055350553506</v>
      </c>
      <c r="N452" s="130">
        <f aca="true" t="shared" si="90" ref="N452:N457">L452</f>
        <v>1684</v>
      </c>
      <c r="O452" s="130">
        <v>0</v>
      </c>
      <c r="P452" s="354">
        <f>N452</f>
        <v>1684</v>
      </c>
      <c r="Q452" s="355">
        <v>0</v>
      </c>
      <c r="R452" s="356"/>
      <c r="S452" s="356"/>
      <c r="T452" s="492"/>
    </row>
    <row r="453" spans="1:20" s="167" customFormat="1" ht="15" customHeight="1">
      <c r="A453" s="510"/>
      <c r="B453" s="147" t="s">
        <v>8</v>
      </c>
      <c r="C453" s="130" t="s">
        <v>9</v>
      </c>
      <c r="D453" s="6"/>
      <c r="E453" s="6"/>
      <c r="F453" s="6"/>
      <c r="G453" s="6"/>
      <c r="H453" s="6"/>
      <c r="I453" s="6"/>
      <c r="J453" s="6"/>
      <c r="K453" s="130">
        <v>147</v>
      </c>
      <c r="L453" s="130">
        <v>228</v>
      </c>
      <c r="M453" s="356">
        <f t="shared" si="82"/>
        <v>1.5510204081632653</v>
      </c>
      <c r="N453" s="130">
        <f t="shared" si="90"/>
        <v>228</v>
      </c>
      <c r="O453" s="130">
        <v>0</v>
      </c>
      <c r="P453" s="354">
        <f>N453</f>
        <v>228</v>
      </c>
      <c r="Q453" s="355">
        <v>0</v>
      </c>
      <c r="R453" s="356"/>
      <c r="S453" s="356"/>
      <c r="T453" s="492"/>
    </row>
    <row r="454" spans="1:20" s="167" customFormat="1" ht="15" customHeight="1">
      <c r="A454" s="510"/>
      <c r="B454" s="147" t="s">
        <v>10</v>
      </c>
      <c r="C454" s="130" t="s">
        <v>313</v>
      </c>
      <c r="D454" s="6"/>
      <c r="E454" s="6"/>
      <c r="F454" s="6"/>
      <c r="G454" s="6"/>
      <c r="H454" s="6"/>
      <c r="I454" s="6"/>
      <c r="J454" s="6"/>
      <c r="K454" s="130">
        <v>171435</v>
      </c>
      <c r="L454" s="130">
        <v>0</v>
      </c>
      <c r="M454" s="356">
        <f t="shared" si="82"/>
        <v>0</v>
      </c>
      <c r="N454" s="130">
        <f t="shared" si="90"/>
        <v>0</v>
      </c>
      <c r="O454" s="130">
        <v>0</v>
      </c>
      <c r="P454" s="354"/>
      <c r="Q454" s="355">
        <v>0</v>
      </c>
      <c r="R454" s="356"/>
      <c r="S454" s="356"/>
      <c r="T454" s="492"/>
    </row>
    <row r="455" spans="1:20" s="167" customFormat="1" ht="15" customHeight="1">
      <c r="A455" s="510"/>
      <c r="B455" s="147" t="s">
        <v>14</v>
      </c>
      <c r="C455" s="130" t="s">
        <v>98</v>
      </c>
      <c r="D455" s="6"/>
      <c r="E455" s="6"/>
      <c r="F455" s="6"/>
      <c r="G455" s="6"/>
      <c r="H455" s="6"/>
      <c r="I455" s="6"/>
      <c r="J455" s="6"/>
      <c r="K455" s="130">
        <v>55000</v>
      </c>
      <c r="L455" s="130">
        <v>0</v>
      </c>
      <c r="M455" s="356">
        <f t="shared" si="82"/>
        <v>0</v>
      </c>
      <c r="N455" s="130">
        <f t="shared" si="90"/>
        <v>0</v>
      </c>
      <c r="O455" s="130">
        <v>0</v>
      </c>
      <c r="P455" s="354"/>
      <c r="Q455" s="355">
        <v>0</v>
      </c>
      <c r="R455" s="356"/>
      <c r="S455" s="356"/>
      <c r="T455" s="492"/>
    </row>
    <row r="456" spans="1:20" s="167" customFormat="1" ht="15" customHeight="1">
      <c r="A456" s="510"/>
      <c r="B456" s="147" t="s">
        <v>16</v>
      </c>
      <c r="C456" s="130" t="s">
        <v>99</v>
      </c>
      <c r="D456" s="6"/>
      <c r="E456" s="6"/>
      <c r="F456" s="6"/>
      <c r="G456" s="6"/>
      <c r="H456" s="6"/>
      <c r="I456" s="6"/>
      <c r="J456" s="6"/>
      <c r="K456" s="130">
        <v>2000</v>
      </c>
      <c r="L456" s="130">
        <v>0</v>
      </c>
      <c r="M456" s="356">
        <f t="shared" si="82"/>
        <v>0</v>
      </c>
      <c r="N456" s="130">
        <f t="shared" si="90"/>
        <v>0</v>
      </c>
      <c r="O456" s="130">
        <v>0</v>
      </c>
      <c r="P456" s="354"/>
      <c r="Q456" s="355">
        <v>0</v>
      </c>
      <c r="R456" s="356"/>
      <c r="S456" s="356"/>
      <c r="T456" s="492"/>
    </row>
    <row r="457" spans="1:20" s="167" customFormat="1" ht="15" customHeight="1">
      <c r="A457" s="510"/>
      <c r="B457" s="147" t="s">
        <v>22</v>
      </c>
      <c r="C457" s="130" t="s">
        <v>23</v>
      </c>
      <c r="D457" s="6"/>
      <c r="E457" s="6"/>
      <c r="F457" s="6"/>
      <c r="G457" s="6"/>
      <c r="H457" s="6"/>
      <c r="I457" s="6"/>
      <c r="J457" s="6"/>
      <c r="K457" s="130">
        <v>0</v>
      </c>
      <c r="L457" s="130">
        <v>382</v>
      </c>
      <c r="M457" s="356">
        <v>0</v>
      </c>
      <c r="N457" s="130">
        <f t="shared" si="90"/>
        <v>382</v>
      </c>
      <c r="O457" s="130">
        <v>0</v>
      </c>
      <c r="P457" s="354"/>
      <c r="Q457" s="355"/>
      <c r="R457" s="356"/>
      <c r="S457" s="356"/>
      <c r="T457" s="492"/>
    </row>
    <row r="458" spans="1:20" s="167" customFormat="1" ht="21" customHeight="1">
      <c r="A458" s="508" t="s">
        <v>112</v>
      </c>
      <c r="B458" s="529"/>
      <c r="C458" s="327" t="s">
        <v>288</v>
      </c>
      <c r="D458" s="326">
        <f>D461</f>
        <v>1308000</v>
      </c>
      <c r="E458" s="326">
        <f>E461</f>
        <v>1138000</v>
      </c>
      <c r="F458" s="326">
        <f>F461</f>
        <v>0</v>
      </c>
      <c r="G458" s="326">
        <f>G461</f>
        <v>0</v>
      </c>
      <c r="H458" s="326">
        <f>H461+H464</f>
        <v>744716</v>
      </c>
      <c r="I458" s="326">
        <f>I461+I464</f>
        <v>0</v>
      </c>
      <c r="J458" s="326">
        <f>J461+J464</f>
        <v>0</v>
      </c>
      <c r="K458" s="353">
        <f>SUM(K459:K465)</f>
        <v>991550</v>
      </c>
      <c r="L458" s="353">
        <f>SUM(L459:L465)</f>
        <v>966216</v>
      </c>
      <c r="M458" s="539">
        <f>L458/K458</f>
        <v>0.9744501033735061</v>
      </c>
      <c r="N458" s="353">
        <f aca="true" t="shared" si="91" ref="N458:T458">SUM(N459:N465)</f>
        <v>966216</v>
      </c>
      <c r="O458" s="353">
        <f t="shared" si="91"/>
        <v>23720</v>
      </c>
      <c r="P458" s="353">
        <f t="shared" si="91"/>
        <v>0</v>
      </c>
      <c r="Q458" s="353">
        <f t="shared" si="91"/>
        <v>21082</v>
      </c>
      <c r="R458" s="353">
        <f t="shared" si="91"/>
        <v>0</v>
      </c>
      <c r="S458" s="353">
        <f t="shared" si="91"/>
        <v>0</v>
      </c>
      <c r="T458" s="491">
        <f t="shared" si="91"/>
        <v>0</v>
      </c>
    </row>
    <row r="459" spans="1:20" s="167" customFormat="1" ht="21" customHeight="1">
      <c r="A459" s="526"/>
      <c r="B459" s="147" t="s">
        <v>62</v>
      </c>
      <c r="C459" s="129" t="s">
        <v>549</v>
      </c>
      <c r="D459" s="5"/>
      <c r="E459" s="5"/>
      <c r="F459" s="5"/>
      <c r="G459" s="5"/>
      <c r="H459" s="5"/>
      <c r="I459" s="5"/>
      <c r="J459" s="5"/>
      <c r="K459" s="130">
        <v>14324</v>
      </c>
      <c r="L459" s="130">
        <v>5270</v>
      </c>
      <c r="M459" s="356">
        <f aca="true" t="shared" si="92" ref="M459:M521">L459/K459</f>
        <v>0.36791399050544543</v>
      </c>
      <c r="N459" s="130">
        <f>L459</f>
        <v>5270</v>
      </c>
      <c r="O459" s="130">
        <v>0</v>
      </c>
      <c r="P459" s="130">
        <v>0</v>
      </c>
      <c r="Q459" s="358">
        <f>N459</f>
        <v>5270</v>
      </c>
      <c r="R459" s="356"/>
      <c r="S459" s="356"/>
      <c r="T459" s="492"/>
    </row>
    <row r="460" spans="1:20" s="167" customFormat="1" ht="15.75" customHeight="1">
      <c r="A460" s="526"/>
      <c r="B460" s="147" t="s">
        <v>225</v>
      </c>
      <c r="C460" s="129" t="s">
        <v>550</v>
      </c>
      <c r="D460" s="5"/>
      <c r="E460" s="5"/>
      <c r="F460" s="5"/>
      <c r="G460" s="5"/>
      <c r="H460" s="5"/>
      <c r="I460" s="5"/>
      <c r="J460" s="5"/>
      <c r="K460" s="130">
        <v>19366</v>
      </c>
      <c r="L460" s="130">
        <v>15812</v>
      </c>
      <c r="M460" s="356">
        <f t="shared" si="92"/>
        <v>0.8164824950944956</v>
      </c>
      <c r="N460" s="130">
        <f aca="true" t="shared" si="93" ref="N460:N465">L460</f>
        <v>15812</v>
      </c>
      <c r="O460" s="130">
        <v>0</v>
      </c>
      <c r="P460" s="130">
        <v>0</v>
      </c>
      <c r="Q460" s="358">
        <f>N460</f>
        <v>15812</v>
      </c>
      <c r="R460" s="356"/>
      <c r="S460" s="356"/>
      <c r="T460" s="492"/>
    </row>
    <row r="461" spans="1:20" s="167" customFormat="1" ht="13.5" customHeight="1">
      <c r="A461" s="526"/>
      <c r="B461" s="147" t="s">
        <v>281</v>
      </c>
      <c r="C461" s="129" t="s">
        <v>282</v>
      </c>
      <c r="D461" s="14">
        <v>1308000</v>
      </c>
      <c r="E461" s="14">
        <v>1138000</v>
      </c>
      <c r="F461" s="14">
        <v>0</v>
      </c>
      <c r="G461" s="14">
        <v>0</v>
      </c>
      <c r="H461" s="6">
        <v>728506</v>
      </c>
      <c r="I461" s="6">
        <v>0</v>
      </c>
      <c r="J461" s="6">
        <v>0</v>
      </c>
      <c r="K461" s="130">
        <v>911650</v>
      </c>
      <c r="L461" s="130">
        <v>901650</v>
      </c>
      <c r="M461" s="356">
        <f t="shared" si="92"/>
        <v>0.9890308780782099</v>
      </c>
      <c r="N461" s="130">
        <f t="shared" si="93"/>
        <v>901650</v>
      </c>
      <c r="O461" s="130">
        <v>0</v>
      </c>
      <c r="P461" s="354"/>
      <c r="Q461" s="355">
        <v>0</v>
      </c>
      <c r="R461" s="356"/>
      <c r="S461" s="356"/>
      <c r="T461" s="492"/>
    </row>
    <row r="462" spans="1:20" s="167" customFormat="1" ht="13.5" customHeight="1">
      <c r="A462" s="526"/>
      <c r="B462" s="147" t="s">
        <v>735</v>
      </c>
      <c r="C462" s="129" t="s">
        <v>736</v>
      </c>
      <c r="D462" s="14"/>
      <c r="E462" s="14"/>
      <c r="F462" s="14"/>
      <c r="G462" s="14"/>
      <c r="H462" s="6"/>
      <c r="I462" s="6"/>
      <c r="J462" s="6"/>
      <c r="K462" s="130">
        <v>5000</v>
      </c>
      <c r="L462" s="130">
        <v>23720</v>
      </c>
      <c r="M462" s="356">
        <f t="shared" si="92"/>
        <v>4.744</v>
      </c>
      <c r="N462" s="130">
        <f t="shared" si="93"/>
        <v>23720</v>
      </c>
      <c r="O462" s="130">
        <f>N462</f>
        <v>23720</v>
      </c>
      <c r="P462" s="354"/>
      <c r="Q462" s="355"/>
      <c r="R462" s="356"/>
      <c r="S462" s="356"/>
      <c r="T462" s="492"/>
    </row>
    <row r="463" spans="1:20" s="167" customFormat="1" ht="13.5" customHeight="1">
      <c r="A463" s="526"/>
      <c r="B463" s="147" t="s">
        <v>33</v>
      </c>
      <c r="C463" s="129" t="s">
        <v>70</v>
      </c>
      <c r="D463" s="14"/>
      <c r="E463" s="14"/>
      <c r="F463" s="14"/>
      <c r="G463" s="14"/>
      <c r="H463" s="6"/>
      <c r="I463" s="6"/>
      <c r="J463" s="6"/>
      <c r="K463" s="130">
        <v>1500</v>
      </c>
      <c r="L463" s="130">
        <v>0</v>
      </c>
      <c r="M463" s="356">
        <f t="shared" si="92"/>
        <v>0</v>
      </c>
      <c r="N463" s="130">
        <f t="shared" si="93"/>
        <v>0</v>
      </c>
      <c r="O463" s="130">
        <v>0</v>
      </c>
      <c r="P463" s="354">
        <f>N463</f>
        <v>0</v>
      </c>
      <c r="Q463" s="355"/>
      <c r="R463" s="356"/>
      <c r="S463" s="356"/>
      <c r="T463" s="492"/>
    </row>
    <row r="464" spans="1:20" s="167" customFormat="1" ht="16.5" customHeight="1">
      <c r="A464" s="526"/>
      <c r="B464" s="147" t="s">
        <v>10</v>
      </c>
      <c r="C464" s="129" t="s">
        <v>11</v>
      </c>
      <c r="D464" s="14"/>
      <c r="E464" s="14"/>
      <c r="F464" s="14"/>
      <c r="G464" s="14"/>
      <c r="H464" s="6">
        <v>16210</v>
      </c>
      <c r="I464" s="6">
        <v>0</v>
      </c>
      <c r="J464" s="6">
        <v>0</v>
      </c>
      <c r="K464" s="130">
        <v>36710</v>
      </c>
      <c r="L464" s="130">
        <v>19764</v>
      </c>
      <c r="M464" s="356">
        <f t="shared" si="92"/>
        <v>0.5383819122854808</v>
      </c>
      <c r="N464" s="130">
        <f t="shared" si="93"/>
        <v>19764</v>
      </c>
      <c r="O464" s="130">
        <v>0</v>
      </c>
      <c r="P464" s="354"/>
      <c r="Q464" s="355">
        <v>0</v>
      </c>
      <c r="R464" s="356"/>
      <c r="S464" s="356"/>
      <c r="T464" s="492"/>
    </row>
    <row r="465" spans="1:20" s="167" customFormat="1" ht="16.5" customHeight="1">
      <c r="A465" s="526"/>
      <c r="B465" s="147" t="s">
        <v>12</v>
      </c>
      <c r="C465" s="130" t="s">
        <v>97</v>
      </c>
      <c r="D465" s="14"/>
      <c r="E465" s="14"/>
      <c r="F465" s="14"/>
      <c r="G465" s="14"/>
      <c r="H465" s="6"/>
      <c r="I465" s="6"/>
      <c r="J465" s="6"/>
      <c r="K465" s="130">
        <v>3000</v>
      </c>
      <c r="L465" s="130">
        <v>0</v>
      </c>
      <c r="M465" s="356">
        <f t="shared" si="92"/>
        <v>0</v>
      </c>
      <c r="N465" s="130">
        <f t="shared" si="93"/>
        <v>0</v>
      </c>
      <c r="O465" s="130">
        <v>0</v>
      </c>
      <c r="P465" s="354">
        <f>L465</f>
        <v>0</v>
      </c>
      <c r="Q465" s="355"/>
      <c r="R465" s="356"/>
      <c r="S465" s="356"/>
      <c r="T465" s="492"/>
    </row>
    <row r="466" spans="1:20" s="167" customFormat="1" ht="29.25" customHeight="1">
      <c r="A466" s="508" t="s">
        <v>108</v>
      </c>
      <c r="B466" s="529"/>
      <c r="C466" s="327" t="s">
        <v>290</v>
      </c>
      <c r="D466" s="326" t="e">
        <f>#REF!+#REF!+#REF!+#REF!</f>
        <v>#REF!</v>
      </c>
      <c r="E466" s="326" t="e">
        <f>#REF!+#REF!+#REF!+#REF!+#REF!+E472+E473+E475+E479+E481</f>
        <v>#REF!</v>
      </c>
      <c r="F466" s="326" t="e">
        <f>#REF!+#REF!+#REF!+#REF!+#REF!+F472+F473+F475+F479+F481</f>
        <v>#REF!</v>
      </c>
      <c r="G466" s="326" t="e">
        <f>#REF!+#REF!+#REF!+#REF!+#REF!+G472+G473+G475+G479+G481</f>
        <v>#REF!</v>
      </c>
      <c r="H466" s="326" t="e">
        <f>#REF!+#REF!+#REF!+#REF!+H472+H473+H475+H479+H481</f>
        <v>#REF!</v>
      </c>
      <c r="I466" s="326" t="e">
        <f>#REF!+#REF!+#REF!+#REF!+I472+I473+I475+I479+I481</f>
        <v>#REF!</v>
      </c>
      <c r="J466" s="326" t="e">
        <f>#REF!+#REF!+#REF!+#REF!+J472+J473+J475+J479+J481</f>
        <v>#REF!</v>
      </c>
      <c r="K466" s="353">
        <f>SUM(K467:K484)</f>
        <v>200622</v>
      </c>
      <c r="L466" s="353">
        <f>SUM(L467:L484)</f>
        <v>282534</v>
      </c>
      <c r="M466" s="541">
        <f>L466/K466</f>
        <v>1.4082902174238119</v>
      </c>
      <c r="N466" s="353">
        <f aca="true" t="shared" si="94" ref="N466:T466">SUM(N467:N484)</f>
        <v>282534</v>
      </c>
      <c r="O466" s="353">
        <f t="shared" si="94"/>
        <v>208688</v>
      </c>
      <c r="P466" s="353">
        <f t="shared" si="94"/>
        <v>35691</v>
      </c>
      <c r="Q466" s="353">
        <f t="shared" si="94"/>
        <v>0</v>
      </c>
      <c r="R466" s="353">
        <f t="shared" si="94"/>
        <v>0</v>
      </c>
      <c r="S466" s="353">
        <f t="shared" si="94"/>
        <v>0</v>
      </c>
      <c r="T466" s="491">
        <f t="shared" si="94"/>
        <v>0</v>
      </c>
    </row>
    <row r="467" spans="1:20" s="167" customFormat="1" ht="22.5" customHeight="1">
      <c r="A467" s="499"/>
      <c r="B467" s="532" t="s">
        <v>2</v>
      </c>
      <c r="C467" s="129" t="s">
        <v>3</v>
      </c>
      <c r="D467" s="336"/>
      <c r="E467" s="336"/>
      <c r="F467" s="336"/>
      <c r="G467" s="336"/>
      <c r="H467" s="336"/>
      <c r="I467" s="336"/>
      <c r="J467" s="336"/>
      <c r="K467" s="358">
        <v>122775</v>
      </c>
      <c r="L467" s="358">
        <v>191360</v>
      </c>
      <c r="M467" s="356">
        <f t="shared" si="92"/>
        <v>1.5586234982691916</v>
      </c>
      <c r="N467" s="358">
        <f>L467</f>
        <v>191360</v>
      </c>
      <c r="O467" s="358">
        <f>N467</f>
        <v>191360</v>
      </c>
      <c r="P467" s="355"/>
      <c r="Q467" s="355">
        <v>0</v>
      </c>
      <c r="R467" s="356"/>
      <c r="S467" s="356"/>
      <c r="T467" s="492"/>
    </row>
    <row r="468" spans="1:20" s="167" customFormat="1" ht="18" customHeight="1">
      <c r="A468" s="499"/>
      <c r="B468" s="532" t="s">
        <v>6</v>
      </c>
      <c r="C468" s="129" t="s">
        <v>70</v>
      </c>
      <c r="D468" s="336"/>
      <c r="E468" s="336"/>
      <c r="F468" s="336"/>
      <c r="G468" s="336"/>
      <c r="H468" s="336"/>
      <c r="I468" s="336"/>
      <c r="J468" s="336"/>
      <c r="K468" s="358">
        <v>13837</v>
      </c>
      <c r="L468" s="358">
        <v>16328</v>
      </c>
      <c r="M468" s="356">
        <f t="shared" si="92"/>
        <v>1.1800245718002458</v>
      </c>
      <c r="N468" s="358">
        <f aca="true" t="shared" si="95" ref="N468:N484">L468</f>
        <v>16328</v>
      </c>
      <c r="O468" s="358">
        <f>N468</f>
        <v>16328</v>
      </c>
      <c r="P468" s="355"/>
      <c r="Q468" s="355">
        <v>0</v>
      </c>
      <c r="R468" s="356"/>
      <c r="S468" s="356"/>
      <c r="T468" s="492"/>
    </row>
    <row r="469" spans="1:20" s="167" customFormat="1" ht="18" customHeight="1">
      <c r="A469" s="499"/>
      <c r="B469" s="532" t="s">
        <v>33</v>
      </c>
      <c r="C469" s="129" t="s">
        <v>70</v>
      </c>
      <c r="D469" s="336"/>
      <c r="E469" s="336"/>
      <c r="F469" s="336"/>
      <c r="G469" s="336"/>
      <c r="H469" s="336"/>
      <c r="I469" s="336"/>
      <c r="J469" s="336"/>
      <c r="K469" s="358">
        <v>23462</v>
      </c>
      <c r="L469" s="358">
        <v>31221</v>
      </c>
      <c r="M469" s="356">
        <f t="shared" si="92"/>
        <v>1.3307049697383002</v>
      </c>
      <c r="N469" s="358">
        <f t="shared" si="95"/>
        <v>31221</v>
      </c>
      <c r="O469" s="358">
        <v>0</v>
      </c>
      <c r="P469" s="355">
        <f>N469</f>
        <v>31221</v>
      </c>
      <c r="Q469" s="355">
        <v>0</v>
      </c>
      <c r="R469" s="356"/>
      <c r="S469" s="356"/>
      <c r="T469" s="492"/>
    </row>
    <row r="470" spans="1:20" s="167" customFormat="1" ht="16.5" customHeight="1">
      <c r="A470" s="499"/>
      <c r="B470" s="532" t="s">
        <v>8</v>
      </c>
      <c r="C470" s="130" t="s">
        <v>9</v>
      </c>
      <c r="D470" s="336"/>
      <c r="E470" s="336"/>
      <c r="F470" s="336"/>
      <c r="G470" s="336"/>
      <c r="H470" s="336"/>
      <c r="I470" s="336"/>
      <c r="J470" s="336"/>
      <c r="K470" s="358">
        <v>4057</v>
      </c>
      <c r="L470" s="358">
        <v>4470</v>
      </c>
      <c r="M470" s="356">
        <f t="shared" si="92"/>
        <v>1.1017993591323638</v>
      </c>
      <c r="N470" s="358">
        <f t="shared" si="95"/>
        <v>4470</v>
      </c>
      <c r="O470" s="358">
        <v>0</v>
      </c>
      <c r="P470" s="355">
        <f>N470</f>
        <v>4470</v>
      </c>
      <c r="Q470" s="355">
        <v>0</v>
      </c>
      <c r="R470" s="356"/>
      <c r="S470" s="356"/>
      <c r="T470" s="492"/>
    </row>
    <row r="471" spans="1:20" s="167" customFormat="1" ht="16.5" customHeight="1">
      <c r="A471" s="510"/>
      <c r="B471" s="147" t="s">
        <v>735</v>
      </c>
      <c r="C471" s="130" t="s">
        <v>736</v>
      </c>
      <c r="D471" s="6"/>
      <c r="E471" s="6"/>
      <c r="F471" s="6"/>
      <c r="G471" s="6"/>
      <c r="H471" s="14"/>
      <c r="I471" s="6"/>
      <c r="J471" s="6"/>
      <c r="K471" s="130">
        <v>0</v>
      </c>
      <c r="L471" s="130">
        <v>1000</v>
      </c>
      <c r="M471" s="356">
        <v>0</v>
      </c>
      <c r="N471" s="358">
        <f t="shared" si="95"/>
        <v>1000</v>
      </c>
      <c r="O471" s="130">
        <f>N471</f>
        <v>1000</v>
      </c>
      <c r="P471" s="355"/>
      <c r="Q471" s="355">
        <v>0</v>
      </c>
      <c r="R471" s="356"/>
      <c r="S471" s="356"/>
      <c r="T471" s="492"/>
    </row>
    <row r="472" spans="1:20" s="167" customFormat="1" ht="15.75" customHeight="1">
      <c r="A472" s="510"/>
      <c r="B472" s="147" t="s">
        <v>10</v>
      </c>
      <c r="C472" s="130" t="s">
        <v>141</v>
      </c>
      <c r="D472" s="6"/>
      <c r="E472" s="6">
        <v>5070</v>
      </c>
      <c r="F472" s="6">
        <v>500</v>
      </c>
      <c r="G472" s="6">
        <v>0</v>
      </c>
      <c r="H472" s="14">
        <v>7461</v>
      </c>
      <c r="I472" s="6">
        <v>0</v>
      </c>
      <c r="J472" s="6">
        <v>0</v>
      </c>
      <c r="K472" s="130">
        <v>6510</v>
      </c>
      <c r="L472" s="130">
        <v>6300</v>
      </c>
      <c r="M472" s="356">
        <f t="shared" si="92"/>
        <v>0.967741935483871</v>
      </c>
      <c r="N472" s="358">
        <f t="shared" si="95"/>
        <v>6300</v>
      </c>
      <c r="O472" s="130">
        <v>0</v>
      </c>
      <c r="P472" s="355"/>
      <c r="Q472" s="355">
        <v>0</v>
      </c>
      <c r="R472" s="356"/>
      <c r="S472" s="356"/>
      <c r="T472" s="492"/>
    </row>
    <row r="473" spans="1:20" s="167" customFormat="1" ht="15.75" customHeight="1">
      <c r="A473" s="510"/>
      <c r="B473" s="147" t="s">
        <v>12</v>
      </c>
      <c r="C473" s="130" t="s">
        <v>97</v>
      </c>
      <c r="D473" s="6"/>
      <c r="E473" s="6">
        <v>3015</v>
      </c>
      <c r="F473" s="6">
        <v>500</v>
      </c>
      <c r="G473" s="6">
        <v>0</v>
      </c>
      <c r="H473" s="14">
        <v>6000</v>
      </c>
      <c r="I473" s="6">
        <v>0</v>
      </c>
      <c r="J473" s="6">
        <v>0</v>
      </c>
      <c r="K473" s="130">
        <v>8760</v>
      </c>
      <c r="L473" s="130">
        <v>9645</v>
      </c>
      <c r="M473" s="356">
        <f t="shared" si="92"/>
        <v>1.101027397260274</v>
      </c>
      <c r="N473" s="358">
        <f t="shared" si="95"/>
        <v>9645</v>
      </c>
      <c r="O473" s="130">
        <v>0</v>
      </c>
      <c r="P473" s="355"/>
      <c r="Q473" s="355">
        <v>0</v>
      </c>
      <c r="R473" s="356"/>
      <c r="S473" s="356"/>
      <c r="T473" s="492"/>
    </row>
    <row r="474" spans="1:20" s="167" customFormat="1" ht="15.75" customHeight="1">
      <c r="A474" s="510"/>
      <c r="B474" s="147" t="s">
        <v>76</v>
      </c>
      <c r="C474" s="130" t="s">
        <v>77</v>
      </c>
      <c r="D474" s="6"/>
      <c r="E474" s="6"/>
      <c r="F474" s="6"/>
      <c r="G474" s="6"/>
      <c r="H474" s="14"/>
      <c r="I474" s="6"/>
      <c r="J474" s="6"/>
      <c r="K474" s="130">
        <v>300</v>
      </c>
      <c r="L474" s="130">
        <v>200</v>
      </c>
      <c r="M474" s="356">
        <f t="shared" si="92"/>
        <v>0.6666666666666666</v>
      </c>
      <c r="N474" s="358">
        <f t="shared" si="95"/>
        <v>200</v>
      </c>
      <c r="O474" s="130">
        <v>0</v>
      </c>
      <c r="P474" s="355"/>
      <c r="Q474" s="355">
        <v>0</v>
      </c>
      <c r="R474" s="356"/>
      <c r="S474" s="356"/>
      <c r="T474" s="492"/>
    </row>
    <row r="475" spans="1:20" s="167" customFormat="1" ht="15.75" customHeight="1">
      <c r="A475" s="510"/>
      <c r="B475" s="147" t="s">
        <v>16</v>
      </c>
      <c r="C475" s="130" t="s">
        <v>99</v>
      </c>
      <c r="D475" s="6"/>
      <c r="E475" s="6">
        <v>19008</v>
      </c>
      <c r="F475" s="6">
        <v>2043</v>
      </c>
      <c r="G475" s="6">
        <v>0</v>
      </c>
      <c r="H475" s="6">
        <v>19291</v>
      </c>
      <c r="I475" s="6">
        <v>0</v>
      </c>
      <c r="J475" s="6">
        <v>0</v>
      </c>
      <c r="K475" s="130">
        <v>6440</v>
      </c>
      <c r="L475" s="130">
        <v>6240</v>
      </c>
      <c r="M475" s="356">
        <f t="shared" si="92"/>
        <v>0.968944099378882</v>
      </c>
      <c r="N475" s="358">
        <f t="shared" si="95"/>
        <v>6240</v>
      </c>
      <c r="O475" s="130">
        <v>0</v>
      </c>
      <c r="P475" s="355"/>
      <c r="Q475" s="355">
        <v>0</v>
      </c>
      <c r="R475" s="356"/>
      <c r="S475" s="356"/>
      <c r="T475" s="492"/>
    </row>
    <row r="476" spans="1:20" s="167" customFormat="1" ht="15.75" customHeight="1">
      <c r="A476" s="510"/>
      <c r="B476" s="147" t="s">
        <v>737</v>
      </c>
      <c r="C476" s="130" t="s">
        <v>738</v>
      </c>
      <c r="D476" s="6"/>
      <c r="E476" s="6"/>
      <c r="F476" s="6"/>
      <c r="G476" s="6"/>
      <c r="H476" s="6"/>
      <c r="I476" s="6"/>
      <c r="J476" s="6"/>
      <c r="K476" s="130">
        <v>549</v>
      </c>
      <c r="L476" s="130">
        <v>664</v>
      </c>
      <c r="M476" s="356">
        <f t="shared" si="92"/>
        <v>1.209471766848816</v>
      </c>
      <c r="N476" s="358">
        <f t="shared" si="95"/>
        <v>664</v>
      </c>
      <c r="O476" s="130">
        <v>0</v>
      </c>
      <c r="P476" s="355"/>
      <c r="Q476" s="355">
        <v>0</v>
      </c>
      <c r="R476" s="356"/>
      <c r="S476" s="356"/>
      <c r="T476" s="492"/>
    </row>
    <row r="477" spans="1:20" s="167" customFormat="1" ht="15.75" customHeight="1">
      <c r="A477" s="510"/>
      <c r="B477" s="147" t="s">
        <v>324</v>
      </c>
      <c r="C477" s="129" t="s">
        <v>326</v>
      </c>
      <c r="D477" s="6"/>
      <c r="E477" s="6"/>
      <c r="F477" s="6"/>
      <c r="G477" s="6"/>
      <c r="H477" s="6"/>
      <c r="I477" s="6"/>
      <c r="J477" s="6"/>
      <c r="K477" s="130">
        <v>900</v>
      </c>
      <c r="L477" s="130">
        <v>1200</v>
      </c>
      <c r="M477" s="356">
        <f t="shared" si="92"/>
        <v>1.3333333333333333</v>
      </c>
      <c r="N477" s="358">
        <f t="shared" si="95"/>
        <v>1200</v>
      </c>
      <c r="O477" s="130">
        <v>0</v>
      </c>
      <c r="P477" s="355"/>
      <c r="Q477" s="355">
        <v>0</v>
      </c>
      <c r="R477" s="356"/>
      <c r="S477" s="356"/>
      <c r="T477" s="492"/>
    </row>
    <row r="478" spans="1:20" s="167" customFormat="1" ht="15.75" customHeight="1">
      <c r="A478" s="510"/>
      <c r="B478" s="147" t="s">
        <v>316</v>
      </c>
      <c r="C478" s="129" t="s">
        <v>320</v>
      </c>
      <c r="D478" s="6"/>
      <c r="E478" s="6"/>
      <c r="F478" s="6"/>
      <c r="G478" s="6"/>
      <c r="H478" s="6"/>
      <c r="I478" s="6"/>
      <c r="J478" s="6"/>
      <c r="K478" s="130">
        <v>2358</v>
      </c>
      <c r="L478" s="130">
        <v>2840</v>
      </c>
      <c r="M478" s="356">
        <f t="shared" si="92"/>
        <v>1.2044105173876167</v>
      </c>
      <c r="N478" s="358">
        <f t="shared" si="95"/>
        <v>2840</v>
      </c>
      <c r="O478" s="130">
        <v>0</v>
      </c>
      <c r="P478" s="355"/>
      <c r="Q478" s="355">
        <v>0</v>
      </c>
      <c r="R478" s="356"/>
      <c r="S478" s="356"/>
      <c r="T478" s="492"/>
    </row>
    <row r="479" spans="1:20" s="167" customFormat="1" ht="15" customHeight="1">
      <c r="A479" s="510"/>
      <c r="B479" s="147" t="s">
        <v>18</v>
      </c>
      <c r="C479" s="130" t="s">
        <v>19</v>
      </c>
      <c r="D479" s="6"/>
      <c r="E479" s="6">
        <v>2618</v>
      </c>
      <c r="F479" s="6">
        <v>0</v>
      </c>
      <c r="G479" s="6">
        <v>0</v>
      </c>
      <c r="H479" s="6">
        <v>1000</v>
      </c>
      <c r="I479" s="6">
        <v>0</v>
      </c>
      <c r="J479" s="6">
        <v>0</v>
      </c>
      <c r="K479" s="130">
        <v>1200</v>
      </c>
      <c r="L479" s="130">
        <v>1200</v>
      </c>
      <c r="M479" s="356">
        <f t="shared" si="92"/>
        <v>1</v>
      </c>
      <c r="N479" s="358">
        <f t="shared" si="95"/>
        <v>1200</v>
      </c>
      <c r="O479" s="130">
        <v>0</v>
      </c>
      <c r="P479" s="355"/>
      <c r="Q479" s="355">
        <v>0</v>
      </c>
      <c r="R479" s="356"/>
      <c r="S479" s="356"/>
      <c r="T479" s="492"/>
    </row>
    <row r="480" spans="1:20" s="167" customFormat="1" ht="15" customHeight="1">
      <c r="A480" s="510"/>
      <c r="B480" s="147" t="s">
        <v>22</v>
      </c>
      <c r="C480" s="130" t="s">
        <v>23</v>
      </c>
      <c r="D480" s="6"/>
      <c r="E480" s="6"/>
      <c r="F480" s="6"/>
      <c r="G480" s="6"/>
      <c r="H480" s="6"/>
      <c r="I480" s="6"/>
      <c r="J480" s="6"/>
      <c r="K480" s="130">
        <v>6420</v>
      </c>
      <c r="L480" s="130">
        <v>6496</v>
      </c>
      <c r="M480" s="356">
        <f t="shared" si="92"/>
        <v>1.0118380062305297</v>
      </c>
      <c r="N480" s="358">
        <f t="shared" si="95"/>
        <v>6496</v>
      </c>
      <c r="O480" s="130">
        <v>0</v>
      </c>
      <c r="P480" s="355"/>
      <c r="Q480" s="355">
        <v>0</v>
      </c>
      <c r="R480" s="356"/>
      <c r="S480" s="356"/>
      <c r="T480" s="492"/>
    </row>
    <row r="481" spans="1:20" s="167" customFormat="1" ht="14.25" customHeight="1">
      <c r="A481" s="510"/>
      <c r="B481" s="147" t="s">
        <v>761</v>
      </c>
      <c r="C481" s="130" t="s">
        <v>541</v>
      </c>
      <c r="D481" s="6"/>
      <c r="E481" s="6">
        <v>1673</v>
      </c>
      <c r="F481" s="6">
        <v>2671</v>
      </c>
      <c r="G481" s="6">
        <v>0</v>
      </c>
      <c r="H481" s="6">
        <v>3180</v>
      </c>
      <c r="I481" s="6">
        <v>0</v>
      </c>
      <c r="J481" s="6">
        <v>0</v>
      </c>
      <c r="K481" s="130">
        <v>120</v>
      </c>
      <c r="L481" s="130">
        <v>120</v>
      </c>
      <c r="M481" s="356">
        <f t="shared" si="92"/>
        <v>1</v>
      </c>
      <c r="N481" s="358">
        <f t="shared" si="95"/>
        <v>120</v>
      </c>
      <c r="O481" s="130">
        <v>0</v>
      </c>
      <c r="P481" s="355"/>
      <c r="Q481" s="355">
        <v>0</v>
      </c>
      <c r="R481" s="356"/>
      <c r="S481" s="356"/>
      <c r="T481" s="492"/>
    </row>
    <row r="482" spans="1:20" s="167" customFormat="1" ht="14.25" customHeight="1">
      <c r="A482" s="510"/>
      <c r="B482" s="147" t="s">
        <v>317</v>
      </c>
      <c r="C482" s="129" t="s">
        <v>321</v>
      </c>
      <c r="D482" s="6"/>
      <c r="E482" s="6"/>
      <c r="F482" s="6"/>
      <c r="G482" s="6"/>
      <c r="H482" s="6"/>
      <c r="I482" s="6"/>
      <c r="J482" s="6"/>
      <c r="K482" s="130">
        <v>434</v>
      </c>
      <c r="L482" s="130">
        <v>500</v>
      </c>
      <c r="M482" s="356">
        <f t="shared" si="92"/>
        <v>1.152073732718894</v>
      </c>
      <c r="N482" s="358">
        <f t="shared" si="95"/>
        <v>500</v>
      </c>
      <c r="O482" s="130">
        <v>0</v>
      </c>
      <c r="P482" s="355"/>
      <c r="Q482" s="355">
        <v>0</v>
      </c>
      <c r="R482" s="356"/>
      <c r="S482" s="356"/>
      <c r="T482" s="492"/>
    </row>
    <row r="483" spans="1:20" s="167" customFormat="1" ht="14.25" customHeight="1">
      <c r="A483" s="510"/>
      <c r="B483" s="147" t="s">
        <v>318</v>
      </c>
      <c r="C483" s="129" t="s">
        <v>322</v>
      </c>
      <c r="D483" s="6"/>
      <c r="E483" s="6"/>
      <c r="F483" s="6"/>
      <c r="G483" s="6"/>
      <c r="H483" s="6"/>
      <c r="I483" s="6"/>
      <c r="J483" s="6"/>
      <c r="K483" s="130">
        <v>500</v>
      </c>
      <c r="L483" s="130">
        <v>550</v>
      </c>
      <c r="M483" s="356">
        <f t="shared" si="92"/>
        <v>1.1</v>
      </c>
      <c r="N483" s="358">
        <f t="shared" si="95"/>
        <v>550</v>
      </c>
      <c r="O483" s="130">
        <v>0</v>
      </c>
      <c r="P483" s="355"/>
      <c r="Q483" s="355">
        <v>0</v>
      </c>
      <c r="R483" s="356"/>
      <c r="S483" s="356"/>
      <c r="T483" s="492"/>
    </row>
    <row r="484" spans="1:20" s="167" customFormat="1" ht="14.25" customHeight="1">
      <c r="A484" s="510"/>
      <c r="B484" s="147" t="s">
        <v>319</v>
      </c>
      <c r="C484" s="129" t="s">
        <v>323</v>
      </c>
      <c r="D484" s="6"/>
      <c r="E484" s="6"/>
      <c r="F484" s="6"/>
      <c r="G484" s="6"/>
      <c r="H484" s="6"/>
      <c r="I484" s="6"/>
      <c r="J484" s="6"/>
      <c r="K484" s="130">
        <v>2000</v>
      </c>
      <c r="L484" s="130">
        <v>2200</v>
      </c>
      <c r="M484" s="356">
        <f t="shared" si="92"/>
        <v>1.1</v>
      </c>
      <c r="N484" s="358">
        <f t="shared" si="95"/>
        <v>2200</v>
      </c>
      <c r="O484" s="130">
        <v>0</v>
      </c>
      <c r="P484" s="355"/>
      <c r="Q484" s="355">
        <v>0</v>
      </c>
      <c r="R484" s="356"/>
      <c r="S484" s="356"/>
      <c r="T484" s="492"/>
    </row>
    <row r="485" spans="1:20" s="166" customFormat="1" ht="52.5" customHeight="1">
      <c r="A485" s="508" t="s">
        <v>394</v>
      </c>
      <c r="B485" s="530"/>
      <c r="C485" s="327" t="s">
        <v>398</v>
      </c>
      <c r="D485" s="326"/>
      <c r="E485" s="326"/>
      <c r="F485" s="326"/>
      <c r="G485" s="326"/>
      <c r="H485" s="326"/>
      <c r="I485" s="326"/>
      <c r="J485" s="326"/>
      <c r="K485" s="353">
        <f>SUM(K486:K497)</f>
        <v>150050</v>
      </c>
      <c r="L485" s="353">
        <f>SUM(L486:L496)</f>
        <v>4804</v>
      </c>
      <c r="M485" s="541">
        <f>L485/K485</f>
        <v>0.032015994668443855</v>
      </c>
      <c r="N485" s="353">
        <f aca="true" t="shared" si="96" ref="N485:T485">SUM(N486:N496)</f>
        <v>4804</v>
      </c>
      <c r="O485" s="353">
        <f t="shared" si="96"/>
        <v>0</v>
      </c>
      <c r="P485" s="353">
        <f t="shared" si="96"/>
        <v>0</v>
      </c>
      <c r="Q485" s="353">
        <f t="shared" si="96"/>
        <v>0</v>
      </c>
      <c r="R485" s="353">
        <f t="shared" si="96"/>
        <v>0</v>
      </c>
      <c r="S485" s="353">
        <f t="shared" si="96"/>
        <v>0</v>
      </c>
      <c r="T485" s="491">
        <f t="shared" si="96"/>
        <v>0</v>
      </c>
    </row>
    <row r="486" spans="1:20" s="166" customFormat="1" ht="23.25" customHeight="1">
      <c r="A486" s="526"/>
      <c r="B486" s="147" t="s">
        <v>2</v>
      </c>
      <c r="C486" s="129" t="s">
        <v>3</v>
      </c>
      <c r="D486" s="14"/>
      <c r="E486" s="14"/>
      <c r="F486" s="14"/>
      <c r="G486" s="14"/>
      <c r="H486" s="14"/>
      <c r="I486" s="14"/>
      <c r="J486" s="14"/>
      <c r="K486" s="130">
        <v>39931</v>
      </c>
      <c r="L486" s="130">
        <v>0</v>
      </c>
      <c r="M486" s="356">
        <f t="shared" si="92"/>
        <v>0</v>
      </c>
      <c r="N486" s="130">
        <f>L486</f>
        <v>0</v>
      </c>
      <c r="O486" s="130">
        <v>0</v>
      </c>
      <c r="P486" s="130">
        <f aca="true" t="shared" si="97" ref="P486:P496">L486</f>
        <v>0</v>
      </c>
      <c r="Q486" s="358">
        <v>0</v>
      </c>
      <c r="R486" s="356"/>
      <c r="S486" s="356"/>
      <c r="T486" s="492"/>
    </row>
    <row r="487" spans="1:20" s="166" customFormat="1" ht="14.25" customHeight="1">
      <c r="A487" s="526"/>
      <c r="B487" s="147" t="s">
        <v>33</v>
      </c>
      <c r="C487" s="129" t="s">
        <v>34</v>
      </c>
      <c r="D487" s="14"/>
      <c r="E487" s="14"/>
      <c r="F487" s="14"/>
      <c r="G487" s="14"/>
      <c r="H487" s="14"/>
      <c r="I487" s="14"/>
      <c r="J487" s="14"/>
      <c r="K487" s="130">
        <v>7274</v>
      </c>
      <c r="L487" s="130">
        <v>0</v>
      </c>
      <c r="M487" s="356">
        <f t="shared" si="92"/>
        <v>0</v>
      </c>
      <c r="N487" s="130">
        <f aca="true" t="shared" si="98" ref="N487:N497">L487</f>
        <v>0</v>
      </c>
      <c r="O487" s="130">
        <v>0</v>
      </c>
      <c r="P487" s="130">
        <f t="shared" si="97"/>
        <v>0</v>
      </c>
      <c r="Q487" s="358">
        <v>0</v>
      </c>
      <c r="R487" s="356"/>
      <c r="S487" s="356"/>
      <c r="T487" s="492"/>
    </row>
    <row r="488" spans="1:20" s="166" customFormat="1" ht="13.5" customHeight="1">
      <c r="A488" s="526"/>
      <c r="B488" s="147" t="s">
        <v>8</v>
      </c>
      <c r="C488" s="129" t="s">
        <v>9</v>
      </c>
      <c r="D488" s="14"/>
      <c r="E488" s="14"/>
      <c r="F488" s="14"/>
      <c r="G488" s="14"/>
      <c r="H488" s="14"/>
      <c r="I488" s="14"/>
      <c r="J488" s="14"/>
      <c r="K488" s="130">
        <v>1152</v>
      </c>
      <c r="L488" s="130">
        <v>0</v>
      </c>
      <c r="M488" s="356">
        <f t="shared" si="92"/>
        <v>0</v>
      </c>
      <c r="N488" s="130">
        <f t="shared" si="98"/>
        <v>0</v>
      </c>
      <c r="O488" s="130">
        <v>0</v>
      </c>
      <c r="P488" s="130">
        <f t="shared" si="97"/>
        <v>0</v>
      </c>
      <c r="Q488" s="358">
        <v>0</v>
      </c>
      <c r="R488" s="356"/>
      <c r="S488" s="356"/>
      <c r="T488" s="492"/>
    </row>
    <row r="489" spans="1:20" s="167" customFormat="1" ht="14.25" customHeight="1">
      <c r="A489" s="510"/>
      <c r="B489" s="147" t="s">
        <v>10</v>
      </c>
      <c r="C489" s="130" t="s">
        <v>11</v>
      </c>
      <c r="D489" s="6"/>
      <c r="E489" s="6"/>
      <c r="F489" s="6"/>
      <c r="G489" s="6"/>
      <c r="H489" s="6"/>
      <c r="I489" s="6"/>
      <c r="J489" s="6"/>
      <c r="K489" s="130">
        <v>24583</v>
      </c>
      <c r="L489" s="130">
        <v>0</v>
      </c>
      <c r="M489" s="356">
        <f t="shared" si="92"/>
        <v>0</v>
      </c>
      <c r="N489" s="130">
        <f t="shared" si="98"/>
        <v>0</v>
      </c>
      <c r="O489" s="130">
        <v>0</v>
      </c>
      <c r="P489" s="130">
        <f t="shared" si="97"/>
        <v>0</v>
      </c>
      <c r="Q489" s="358">
        <v>0</v>
      </c>
      <c r="R489" s="356"/>
      <c r="S489" s="356"/>
      <c r="T489" s="492"/>
    </row>
    <row r="490" spans="1:20" s="167" customFormat="1" ht="14.25" customHeight="1">
      <c r="A490" s="510"/>
      <c r="B490" s="147" t="s">
        <v>286</v>
      </c>
      <c r="C490" s="130" t="s">
        <v>816</v>
      </c>
      <c r="D490" s="6"/>
      <c r="E490" s="6"/>
      <c r="F490" s="6"/>
      <c r="G490" s="6"/>
      <c r="H490" s="6"/>
      <c r="I490" s="6"/>
      <c r="J490" s="6"/>
      <c r="K490" s="130">
        <v>300</v>
      </c>
      <c r="L490" s="130">
        <v>0</v>
      </c>
      <c r="M490" s="356">
        <f t="shared" si="92"/>
        <v>0</v>
      </c>
      <c r="N490" s="130">
        <f t="shared" si="98"/>
        <v>0</v>
      </c>
      <c r="O490" s="130">
        <v>0</v>
      </c>
      <c r="P490" s="130">
        <f t="shared" si="97"/>
        <v>0</v>
      </c>
      <c r="Q490" s="358">
        <v>0</v>
      </c>
      <c r="R490" s="356"/>
      <c r="S490" s="356"/>
      <c r="T490" s="492"/>
    </row>
    <row r="491" spans="1:20" s="167" customFormat="1" ht="14.25" customHeight="1">
      <c r="A491" s="510"/>
      <c r="B491" s="147" t="s">
        <v>12</v>
      </c>
      <c r="C491" s="130" t="s">
        <v>97</v>
      </c>
      <c r="D491" s="6"/>
      <c r="E491" s="6"/>
      <c r="F491" s="6"/>
      <c r="G491" s="6"/>
      <c r="H491" s="6"/>
      <c r="I491" s="6"/>
      <c r="J491" s="6"/>
      <c r="K491" s="130">
        <v>15620</v>
      </c>
      <c r="L491" s="130">
        <v>4804</v>
      </c>
      <c r="M491" s="356">
        <f t="shared" si="92"/>
        <v>0.30755441741357237</v>
      </c>
      <c r="N491" s="130">
        <f t="shared" si="98"/>
        <v>4804</v>
      </c>
      <c r="O491" s="130">
        <v>0</v>
      </c>
      <c r="P491" s="130"/>
      <c r="Q491" s="358">
        <v>0</v>
      </c>
      <c r="R491" s="356"/>
      <c r="S491" s="356"/>
      <c r="T491" s="492"/>
    </row>
    <row r="492" spans="1:20" s="167" customFormat="1" ht="14.25" customHeight="1">
      <c r="A492" s="510"/>
      <c r="B492" s="147" t="s">
        <v>14</v>
      </c>
      <c r="C492" s="130" t="s">
        <v>98</v>
      </c>
      <c r="D492" s="6"/>
      <c r="E492" s="6"/>
      <c r="F492" s="6"/>
      <c r="G492" s="6"/>
      <c r="H492" s="6"/>
      <c r="I492" s="6"/>
      <c r="J492" s="6"/>
      <c r="K492" s="130">
        <v>0</v>
      </c>
      <c r="L492" s="130">
        <v>0</v>
      </c>
      <c r="M492" s="356">
        <v>0</v>
      </c>
      <c r="N492" s="130">
        <f t="shared" si="98"/>
        <v>0</v>
      </c>
      <c r="O492" s="130">
        <v>0</v>
      </c>
      <c r="P492" s="130">
        <f t="shared" si="97"/>
        <v>0</v>
      </c>
      <c r="Q492" s="358">
        <v>0</v>
      </c>
      <c r="R492" s="356"/>
      <c r="S492" s="356"/>
      <c r="T492" s="492"/>
    </row>
    <row r="493" spans="1:20" s="167" customFormat="1" ht="14.25" customHeight="1">
      <c r="A493" s="510"/>
      <c r="B493" s="147" t="s">
        <v>16</v>
      </c>
      <c r="C493" s="130" t="s">
        <v>99</v>
      </c>
      <c r="D493" s="6"/>
      <c r="E493" s="6"/>
      <c r="F493" s="6"/>
      <c r="G493" s="6"/>
      <c r="H493" s="6"/>
      <c r="I493" s="6"/>
      <c r="J493" s="6"/>
      <c r="K493" s="130">
        <v>12080</v>
      </c>
      <c r="L493" s="130">
        <v>0</v>
      </c>
      <c r="M493" s="356">
        <f t="shared" si="92"/>
        <v>0</v>
      </c>
      <c r="N493" s="130">
        <f t="shared" si="98"/>
        <v>0</v>
      </c>
      <c r="O493" s="130">
        <v>0</v>
      </c>
      <c r="P493" s="130">
        <f t="shared" si="97"/>
        <v>0</v>
      </c>
      <c r="Q493" s="358">
        <v>0</v>
      </c>
      <c r="R493" s="356"/>
      <c r="S493" s="356"/>
      <c r="T493" s="492"/>
    </row>
    <row r="494" spans="1:20" s="167" customFormat="1" ht="14.25" customHeight="1">
      <c r="A494" s="510"/>
      <c r="B494" s="147" t="s">
        <v>737</v>
      </c>
      <c r="C494" s="130" t="s">
        <v>738</v>
      </c>
      <c r="D494" s="6"/>
      <c r="E494" s="6"/>
      <c r="F494" s="6"/>
      <c r="G494" s="6"/>
      <c r="H494" s="6"/>
      <c r="I494" s="6"/>
      <c r="J494" s="6"/>
      <c r="K494" s="130">
        <v>1764</v>
      </c>
      <c r="L494" s="130">
        <v>0</v>
      </c>
      <c r="M494" s="356">
        <f t="shared" si="92"/>
        <v>0</v>
      </c>
      <c r="N494" s="130">
        <f t="shared" si="98"/>
        <v>0</v>
      </c>
      <c r="O494" s="130">
        <v>0</v>
      </c>
      <c r="P494" s="130">
        <f t="shared" si="97"/>
        <v>0</v>
      </c>
      <c r="Q494" s="358">
        <v>0</v>
      </c>
      <c r="R494" s="356"/>
      <c r="S494" s="356"/>
      <c r="T494" s="492"/>
    </row>
    <row r="495" spans="1:20" s="167" customFormat="1" ht="14.25" customHeight="1">
      <c r="A495" s="510"/>
      <c r="B495" s="147" t="s">
        <v>18</v>
      </c>
      <c r="C495" s="130" t="s">
        <v>19</v>
      </c>
      <c r="D495" s="6"/>
      <c r="E495" s="6"/>
      <c r="F495" s="6"/>
      <c r="G495" s="6"/>
      <c r="H495" s="6"/>
      <c r="I495" s="6"/>
      <c r="J495" s="6"/>
      <c r="K495" s="130">
        <v>1200</v>
      </c>
      <c r="L495" s="130">
        <v>0</v>
      </c>
      <c r="M495" s="356">
        <f t="shared" si="92"/>
        <v>0</v>
      </c>
      <c r="N495" s="130">
        <f t="shared" si="98"/>
        <v>0</v>
      </c>
      <c r="O495" s="130">
        <v>0</v>
      </c>
      <c r="P495" s="130">
        <f t="shared" si="97"/>
        <v>0</v>
      </c>
      <c r="Q495" s="358">
        <v>0</v>
      </c>
      <c r="R495" s="356"/>
      <c r="S495" s="356"/>
      <c r="T495" s="492"/>
    </row>
    <row r="496" spans="1:20" s="167" customFormat="1" ht="14.25" customHeight="1">
      <c r="A496" s="510"/>
      <c r="B496" s="147" t="s">
        <v>22</v>
      </c>
      <c r="C496" s="130" t="s">
        <v>23</v>
      </c>
      <c r="D496" s="6"/>
      <c r="E496" s="6"/>
      <c r="F496" s="6"/>
      <c r="G496" s="6"/>
      <c r="H496" s="6"/>
      <c r="I496" s="6"/>
      <c r="J496" s="6"/>
      <c r="K496" s="130">
        <v>1146</v>
      </c>
      <c r="L496" s="130">
        <v>0</v>
      </c>
      <c r="M496" s="356">
        <f t="shared" si="92"/>
        <v>0</v>
      </c>
      <c r="N496" s="130">
        <f t="shared" si="98"/>
        <v>0</v>
      </c>
      <c r="O496" s="130">
        <v>0</v>
      </c>
      <c r="P496" s="130">
        <f t="shared" si="97"/>
        <v>0</v>
      </c>
      <c r="Q496" s="358">
        <v>0</v>
      </c>
      <c r="R496" s="356"/>
      <c r="S496" s="356"/>
      <c r="T496" s="492"/>
    </row>
    <row r="497" spans="1:20" s="167" customFormat="1" ht="14.25" customHeight="1">
      <c r="A497" s="510"/>
      <c r="B497" s="147" t="s">
        <v>42</v>
      </c>
      <c r="C497" s="130" t="s">
        <v>857</v>
      </c>
      <c r="D497" s="6"/>
      <c r="E497" s="6"/>
      <c r="F497" s="6"/>
      <c r="G497" s="6"/>
      <c r="H497" s="6"/>
      <c r="I497" s="6"/>
      <c r="J497" s="6"/>
      <c r="K497" s="130">
        <v>45000</v>
      </c>
      <c r="L497" s="130"/>
      <c r="M497" s="356">
        <f t="shared" si="92"/>
        <v>0</v>
      </c>
      <c r="N497" s="130">
        <f t="shared" si="98"/>
        <v>0</v>
      </c>
      <c r="O497" s="130"/>
      <c r="P497" s="130"/>
      <c r="Q497" s="358"/>
      <c r="R497" s="356"/>
      <c r="S497" s="356"/>
      <c r="T497" s="492"/>
    </row>
    <row r="498" spans="1:20" s="167" customFormat="1" ht="27" customHeight="1">
      <c r="A498" s="508" t="s">
        <v>424</v>
      </c>
      <c r="B498" s="542"/>
      <c r="C498" s="327" t="s">
        <v>425</v>
      </c>
      <c r="D498" s="329"/>
      <c r="E498" s="329"/>
      <c r="F498" s="329"/>
      <c r="G498" s="329"/>
      <c r="H498" s="329"/>
      <c r="I498" s="329"/>
      <c r="J498" s="329"/>
      <c r="K498" s="353">
        <f>K499</f>
        <v>2200</v>
      </c>
      <c r="L498" s="353">
        <f>L499</f>
        <v>2070</v>
      </c>
      <c r="M498" s="541">
        <f>L498/K498</f>
        <v>0.9409090909090909</v>
      </c>
      <c r="N498" s="353">
        <f aca="true" t="shared" si="99" ref="N498:T498">N499</f>
        <v>2070</v>
      </c>
      <c r="O498" s="353">
        <f t="shared" si="99"/>
        <v>0</v>
      </c>
      <c r="P498" s="353">
        <f t="shared" si="99"/>
        <v>0</v>
      </c>
      <c r="Q498" s="353">
        <f t="shared" si="99"/>
        <v>0</v>
      </c>
      <c r="R498" s="353">
        <f t="shared" si="99"/>
        <v>0</v>
      </c>
      <c r="S498" s="353">
        <f t="shared" si="99"/>
        <v>0</v>
      </c>
      <c r="T498" s="491">
        <f t="shared" si="99"/>
        <v>0</v>
      </c>
    </row>
    <row r="499" spans="1:20" s="167" customFormat="1" ht="15.75" customHeight="1">
      <c r="A499" s="510"/>
      <c r="B499" s="533" t="s">
        <v>16</v>
      </c>
      <c r="C499" s="129" t="s">
        <v>99</v>
      </c>
      <c r="D499" s="6"/>
      <c r="E499" s="6"/>
      <c r="F499" s="6"/>
      <c r="G499" s="6"/>
      <c r="H499" s="6"/>
      <c r="I499" s="6"/>
      <c r="J499" s="6"/>
      <c r="K499" s="130">
        <v>2200</v>
      </c>
      <c r="L499" s="130">
        <v>2070</v>
      </c>
      <c r="M499" s="356">
        <f t="shared" si="92"/>
        <v>0.9409090909090909</v>
      </c>
      <c r="N499" s="130">
        <f>L499</f>
        <v>2070</v>
      </c>
      <c r="O499" s="130">
        <v>0</v>
      </c>
      <c r="P499" s="354"/>
      <c r="Q499" s="355">
        <v>0</v>
      </c>
      <c r="R499" s="356"/>
      <c r="S499" s="356"/>
      <c r="T499" s="492"/>
    </row>
    <row r="500" spans="1:20" s="167" customFormat="1" ht="24" customHeight="1">
      <c r="A500" s="508" t="s">
        <v>110</v>
      </c>
      <c r="B500" s="542"/>
      <c r="C500" s="327" t="s">
        <v>72</v>
      </c>
      <c r="D500" s="326"/>
      <c r="E500" s="326" t="e">
        <f>#REF!+#REF!</f>
        <v>#REF!</v>
      </c>
      <c r="F500" s="326" t="e">
        <f>#REF!+#REF!</f>
        <v>#REF!</v>
      </c>
      <c r="G500" s="326" t="e">
        <f>#REF!+#REF!</f>
        <v>#REF!</v>
      </c>
      <c r="H500" s="326" t="e">
        <f>#REF!+H505</f>
        <v>#REF!</v>
      </c>
      <c r="I500" s="326" t="e">
        <f>#REF!+I505</f>
        <v>#REF!</v>
      </c>
      <c r="J500" s="326" t="e">
        <f>#REF!+J505</f>
        <v>#REF!</v>
      </c>
      <c r="K500" s="353">
        <f>SUM(K501:K505)</f>
        <v>60252</v>
      </c>
      <c r="L500" s="353">
        <f>SUM(L501:L505)</f>
        <v>6030</v>
      </c>
      <c r="M500" s="539">
        <f t="shared" si="92"/>
        <v>0.10007966540529775</v>
      </c>
      <c r="N500" s="353">
        <f aca="true" t="shared" si="100" ref="N500:T500">SUM(N501:N505)</f>
        <v>6030</v>
      </c>
      <c r="O500" s="353">
        <f t="shared" si="100"/>
        <v>0</v>
      </c>
      <c r="P500" s="353">
        <f t="shared" si="100"/>
        <v>0</v>
      </c>
      <c r="Q500" s="353">
        <f t="shared" si="100"/>
        <v>0</v>
      </c>
      <c r="R500" s="353">
        <f t="shared" si="100"/>
        <v>0</v>
      </c>
      <c r="S500" s="353">
        <f t="shared" si="100"/>
        <v>0</v>
      </c>
      <c r="T500" s="491">
        <f t="shared" si="100"/>
        <v>0</v>
      </c>
    </row>
    <row r="501" spans="1:20" s="167" customFormat="1" ht="14.25" customHeight="1">
      <c r="A501" s="526"/>
      <c r="B501" s="533" t="s">
        <v>10</v>
      </c>
      <c r="C501" s="129" t="s">
        <v>37</v>
      </c>
      <c r="D501" s="14"/>
      <c r="E501" s="14"/>
      <c r="F501" s="14"/>
      <c r="G501" s="14"/>
      <c r="H501" s="14"/>
      <c r="I501" s="14"/>
      <c r="J501" s="14"/>
      <c r="K501" s="130">
        <v>33283</v>
      </c>
      <c r="L501" s="130">
        <v>0</v>
      </c>
      <c r="M501" s="356">
        <f t="shared" si="92"/>
        <v>0</v>
      </c>
      <c r="N501" s="130">
        <f>L501</f>
        <v>0</v>
      </c>
      <c r="O501" s="130">
        <v>0</v>
      </c>
      <c r="P501" s="130">
        <f>L501</f>
        <v>0</v>
      </c>
      <c r="Q501" s="358">
        <v>0</v>
      </c>
      <c r="R501" s="356"/>
      <c r="S501" s="356"/>
      <c r="T501" s="492"/>
    </row>
    <row r="502" spans="1:20" s="167" customFormat="1" ht="14.25" customHeight="1">
      <c r="A502" s="526"/>
      <c r="B502" s="533" t="s">
        <v>12</v>
      </c>
      <c r="C502" s="130" t="s">
        <v>97</v>
      </c>
      <c r="D502" s="14"/>
      <c r="E502" s="14"/>
      <c r="F502" s="14"/>
      <c r="G502" s="14"/>
      <c r="H502" s="14"/>
      <c r="I502" s="14"/>
      <c r="J502" s="14"/>
      <c r="K502" s="130">
        <v>1000</v>
      </c>
      <c r="L502" s="130"/>
      <c r="M502" s="356">
        <f t="shared" si="92"/>
        <v>0</v>
      </c>
      <c r="N502" s="130">
        <f>L502</f>
        <v>0</v>
      </c>
      <c r="O502" s="130"/>
      <c r="P502" s="130"/>
      <c r="Q502" s="358"/>
      <c r="R502" s="356"/>
      <c r="S502" s="356"/>
      <c r="T502" s="492"/>
    </row>
    <row r="503" spans="1:20" s="167" customFormat="1" ht="14.25" customHeight="1">
      <c r="A503" s="526"/>
      <c r="B503" s="533" t="s">
        <v>14</v>
      </c>
      <c r="C503" s="130" t="s">
        <v>98</v>
      </c>
      <c r="D503" s="14"/>
      <c r="E503" s="14"/>
      <c r="F503" s="14"/>
      <c r="G503" s="14"/>
      <c r="H503" s="14"/>
      <c r="I503" s="14"/>
      <c r="J503" s="14"/>
      <c r="K503" s="130">
        <v>20000</v>
      </c>
      <c r="L503" s="130"/>
      <c r="M503" s="356">
        <f t="shared" si="92"/>
        <v>0</v>
      </c>
      <c r="N503" s="130">
        <f>L503</f>
        <v>0</v>
      </c>
      <c r="O503" s="130"/>
      <c r="P503" s="130"/>
      <c r="Q503" s="358"/>
      <c r="R503" s="356"/>
      <c r="S503" s="356"/>
      <c r="T503" s="492"/>
    </row>
    <row r="504" spans="1:20" s="167" customFormat="1" ht="14.25" customHeight="1">
      <c r="A504" s="526"/>
      <c r="B504" s="533" t="s">
        <v>22</v>
      </c>
      <c r="C504" s="129" t="s">
        <v>399</v>
      </c>
      <c r="D504" s="14"/>
      <c r="E504" s="14"/>
      <c r="F504" s="14"/>
      <c r="G504" s="14"/>
      <c r="H504" s="14"/>
      <c r="I504" s="14"/>
      <c r="J504" s="14"/>
      <c r="K504" s="130">
        <v>5469</v>
      </c>
      <c r="L504" s="130">
        <v>5530</v>
      </c>
      <c r="M504" s="356">
        <f t="shared" si="92"/>
        <v>1.0111537758273907</v>
      </c>
      <c r="N504" s="130">
        <f>L504</f>
        <v>5530</v>
      </c>
      <c r="O504" s="130">
        <v>0</v>
      </c>
      <c r="P504" s="130"/>
      <c r="Q504" s="358">
        <v>0</v>
      </c>
      <c r="R504" s="356"/>
      <c r="S504" s="356"/>
      <c r="T504" s="492"/>
    </row>
    <row r="505" spans="1:20" s="167" customFormat="1" ht="14.25" customHeight="1">
      <c r="A505" s="510"/>
      <c r="B505" s="533" t="s">
        <v>16</v>
      </c>
      <c r="C505" s="129" t="s">
        <v>17</v>
      </c>
      <c r="D505" s="6"/>
      <c r="E505" s="6">
        <v>6515</v>
      </c>
      <c r="F505" s="6">
        <v>3292</v>
      </c>
      <c r="G505" s="6">
        <v>0</v>
      </c>
      <c r="H505" s="6">
        <v>2885</v>
      </c>
      <c r="I505" s="6">
        <v>0</v>
      </c>
      <c r="J505" s="6">
        <v>0</v>
      </c>
      <c r="K505" s="130">
        <v>500</v>
      </c>
      <c r="L505" s="130">
        <v>500</v>
      </c>
      <c r="M505" s="356">
        <f t="shared" si="92"/>
        <v>1</v>
      </c>
      <c r="N505" s="130">
        <f>L505</f>
        <v>500</v>
      </c>
      <c r="O505" s="130">
        <v>0</v>
      </c>
      <c r="P505" s="354"/>
      <c r="Q505" s="355">
        <v>0</v>
      </c>
      <c r="R505" s="356"/>
      <c r="S505" s="356"/>
      <c r="T505" s="492"/>
    </row>
    <row r="506" spans="1:20" s="167" customFormat="1" ht="30" customHeight="1">
      <c r="A506" s="528" t="s">
        <v>279</v>
      </c>
      <c r="B506" s="534"/>
      <c r="C506" s="215" t="s">
        <v>109</v>
      </c>
      <c r="D506" s="201"/>
      <c r="E506" s="201"/>
      <c r="F506" s="201"/>
      <c r="G506" s="201"/>
      <c r="H506" s="201"/>
      <c r="I506" s="201"/>
      <c r="J506" s="201"/>
      <c r="K506" s="357">
        <f>K507+K509+K516+K534</f>
        <v>1290324</v>
      </c>
      <c r="L506" s="357">
        <f aca="true" t="shared" si="101" ref="L506:T506">L507+L509+L516+L534</f>
        <v>968882</v>
      </c>
      <c r="M506" s="473">
        <f t="shared" si="92"/>
        <v>0.7508827240290036</v>
      </c>
      <c r="N506" s="357">
        <f t="shared" si="101"/>
        <v>968882</v>
      </c>
      <c r="O506" s="357">
        <f t="shared" si="101"/>
        <v>706381</v>
      </c>
      <c r="P506" s="357">
        <f t="shared" si="101"/>
        <v>94052</v>
      </c>
      <c r="Q506" s="357">
        <f t="shared" si="101"/>
        <v>10061</v>
      </c>
      <c r="R506" s="357">
        <f t="shared" si="101"/>
        <v>0</v>
      </c>
      <c r="S506" s="357">
        <f t="shared" si="101"/>
        <v>0</v>
      </c>
      <c r="T506" s="493">
        <f t="shared" si="101"/>
        <v>0</v>
      </c>
    </row>
    <row r="507" spans="1:20" s="167" customFormat="1" ht="38.25" customHeight="1">
      <c r="A507" s="508" t="s">
        <v>306</v>
      </c>
      <c r="B507" s="542"/>
      <c r="C507" s="327" t="s">
        <v>307</v>
      </c>
      <c r="D507" s="326"/>
      <c r="E507" s="326"/>
      <c r="F507" s="326"/>
      <c r="G507" s="326"/>
      <c r="H507" s="326"/>
      <c r="I507" s="326"/>
      <c r="J507" s="326"/>
      <c r="K507" s="353">
        <f>K508</f>
        <v>0</v>
      </c>
      <c r="L507" s="353">
        <f>L508</f>
        <v>10061</v>
      </c>
      <c r="M507" s="540">
        <v>0</v>
      </c>
      <c r="N507" s="353">
        <f aca="true" t="shared" si="102" ref="N507:T507">N508</f>
        <v>10061</v>
      </c>
      <c r="O507" s="353">
        <f t="shared" si="102"/>
        <v>0</v>
      </c>
      <c r="P507" s="353">
        <f t="shared" si="102"/>
        <v>0</v>
      </c>
      <c r="Q507" s="353">
        <f t="shared" si="102"/>
        <v>10061</v>
      </c>
      <c r="R507" s="353">
        <f t="shared" si="102"/>
        <v>0</v>
      </c>
      <c r="S507" s="353">
        <f t="shared" si="102"/>
        <v>0</v>
      </c>
      <c r="T507" s="491">
        <f t="shared" si="102"/>
        <v>0</v>
      </c>
    </row>
    <row r="508" spans="1:20" s="167" customFormat="1" ht="22.5" customHeight="1">
      <c r="A508" s="499"/>
      <c r="B508" s="535" t="s">
        <v>62</v>
      </c>
      <c r="C508" s="335" t="s">
        <v>308</v>
      </c>
      <c r="D508" s="334"/>
      <c r="E508" s="334"/>
      <c r="F508" s="334"/>
      <c r="G508" s="334"/>
      <c r="H508" s="334"/>
      <c r="I508" s="334"/>
      <c r="J508" s="334"/>
      <c r="K508" s="358">
        <v>0</v>
      </c>
      <c r="L508" s="358">
        <v>10061</v>
      </c>
      <c r="M508" s="356">
        <v>0</v>
      </c>
      <c r="N508" s="358">
        <f>L508</f>
        <v>10061</v>
      </c>
      <c r="O508" s="336"/>
      <c r="P508" s="336"/>
      <c r="Q508" s="358">
        <f>N508</f>
        <v>10061</v>
      </c>
      <c r="R508" s="356"/>
      <c r="S508" s="356"/>
      <c r="T508" s="492"/>
    </row>
    <row r="509" spans="1:20" s="167" customFormat="1" ht="23.25" customHeight="1">
      <c r="A509" s="508" t="s">
        <v>291</v>
      </c>
      <c r="B509" s="542"/>
      <c r="C509" s="327" t="s">
        <v>674</v>
      </c>
      <c r="D509" s="326"/>
      <c r="E509" s="326"/>
      <c r="F509" s="326"/>
      <c r="G509" s="326"/>
      <c r="H509" s="326"/>
      <c r="I509" s="326"/>
      <c r="J509" s="326"/>
      <c r="K509" s="353">
        <f>SUM(K510:K515)</f>
        <v>18821</v>
      </c>
      <c r="L509" s="353">
        <f>SUM(L510:L515)</f>
        <v>18821</v>
      </c>
      <c r="M509" s="541">
        <f>L509/K509</f>
        <v>1</v>
      </c>
      <c r="N509" s="353">
        <f aca="true" t="shared" si="103" ref="N509:T509">SUM(N510:N515)</f>
        <v>18821</v>
      </c>
      <c r="O509" s="353">
        <f t="shared" si="103"/>
        <v>14878</v>
      </c>
      <c r="P509" s="353">
        <f t="shared" si="103"/>
        <v>2930</v>
      </c>
      <c r="Q509" s="353">
        <f t="shared" si="103"/>
        <v>0</v>
      </c>
      <c r="R509" s="353">
        <f t="shared" si="103"/>
        <v>0</v>
      </c>
      <c r="S509" s="353">
        <f t="shared" si="103"/>
        <v>0</v>
      </c>
      <c r="T509" s="491">
        <f t="shared" si="103"/>
        <v>0</v>
      </c>
    </row>
    <row r="510" spans="1:20" s="167" customFormat="1" ht="23.25" customHeight="1">
      <c r="A510" s="510"/>
      <c r="B510" s="533" t="s">
        <v>2</v>
      </c>
      <c r="C510" s="129" t="s">
        <v>3</v>
      </c>
      <c r="D510" s="6">
        <v>16515</v>
      </c>
      <c r="E510" s="6">
        <v>15028</v>
      </c>
      <c r="F510" s="6">
        <v>0</v>
      </c>
      <c r="G510" s="6">
        <v>0</v>
      </c>
      <c r="H510" s="6">
        <v>9550</v>
      </c>
      <c r="I510" s="6">
        <v>0</v>
      </c>
      <c r="J510" s="6">
        <v>0</v>
      </c>
      <c r="K510" s="130">
        <v>13603</v>
      </c>
      <c r="L510" s="130">
        <v>13603</v>
      </c>
      <c r="M510" s="356">
        <f t="shared" si="92"/>
        <v>1</v>
      </c>
      <c r="N510" s="130">
        <f aca="true" t="shared" si="104" ref="N510:N515">L510</f>
        <v>13603</v>
      </c>
      <c r="O510" s="130">
        <f>N510</f>
        <v>13603</v>
      </c>
      <c r="P510" s="354"/>
      <c r="Q510" s="355">
        <v>0</v>
      </c>
      <c r="R510" s="356"/>
      <c r="S510" s="356"/>
      <c r="T510" s="492"/>
    </row>
    <row r="511" spans="1:20" s="167" customFormat="1" ht="13.5" customHeight="1">
      <c r="A511" s="510"/>
      <c r="B511" s="533" t="s">
        <v>6</v>
      </c>
      <c r="C511" s="129" t="s">
        <v>7</v>
      </c>
      <c r="D511" s="6"/>
      <c r="E511" s="6"/>
      <c r="F511" s="6"/>
      <c r="G511" s="6"/>
      <c r="H511" s="6">
        <v>765</v>
      </c>
      <c r="I511" s="6">
        <v>0</v>
      </c>
      <c r="J511" s="6">
        <v>0</v>
      </c>
      <c r="K511" s="130">
        <v>1275</v>
      </c>
      <c r="L511" s="130">
        <v>1275</v>
      </c>
      <c r="M511" s="356">
        <f t="shared" si="92"/>
        <v>1</v>
      </c>
      <c r="N511" s="130">
        <f t="shared" si="104"/>
        <v>1275</v>
      </c>
      <c r="O511" s="130">
        <f>N511</f>
        <v>1275</v>
      </c>
      <c r="P511" s="354"/>
      <c r="Q511" s="355">
        <v>0</v>
      </c>
      <c r="R511" s="356"/>
      <c r="S511" s="356"/>
      <c r="T511" s="492"/>
    </row>
    <row r="512" spans="1:20" s="167" customFormat="1" ht="14.25" customHeight="1">
      <c r="A512" s="510"/>
      <c r="B512" s="536" t="s">
        <v>33</v>
      </c>
      <c r="C512" s="129" t="s">
        <v>292</v>
      </c>
      <c r="D512" s="6">
        <v>3358</v>
      </c>
      <c r="E512" s="6">
        <v>2709</v>
      </c>
      <c r="F512" s="6">
        <v>0</v>
      </c>
      <c r="G512" s="6">
        <v>0</v>
      </c>
      <c r="H512" s="6">
        <v>1844</v>
      </c>
      <c r="I512" s="6">
        <v>0</v>
      </c>
      <c r="J512" s="6">
        <v>0</v>
      </c>
      <c r="K512" s="130">
        <v>2565</v>
      </c>
      <c r="L512" s="130">
        <v>2565</v>
      </c>
      <c r="M512" s="356">
        <f t="shared" si="92"/>
        <v>1</v>
      </c>
      <c r="N512" s="130">
        <f t="shared" si="104"/>
        <v>2565</v>
      </c>
      <c r="O512" s="130">
        <v>0</v>
      </c>
      <c r="P512" s="354">
        <f>N512</f>
        <v>2565</v>
      </c>
      <c r="Q512" s="355">
        <v>0</v>
      </c>
      <c r="R512" s="356"/>
      <c r="S512" s="356"/>
      <c r="T512" s="492"/>
    </row>
    <row r="513" spans="1:20" s="167" customFormat="1" ht="13.5" customHeight="1">
      <c r="A513" s="510"/>
      <c r="B513" s="536" t="s">
        <v>8</v>
      </c>
      <c r="C513" s="129" t="s">
        <v>9</v>
      </c>
      <c r="D513" s="6"/>
      <c r="E513" s="6">
        <v>371</v>
      </c>
      <c r="F513" s="6">
        <v>0</v>
      </c>
      <c r="G513" s="6">
        <v>0</v>
      </c>
      <c r="H513" s="6">
        <v>253</v>
      </c>
      <c r="I513" s="6">
        <v>0</v>
      </c>
      <c r="J513" s="6">
        <v>0</v>
      </c>
      <c r="K513" s="130">
        <v>365</v>
      </c>
      <c r="L513" s="130">
        <v>365</v>
      </c>
      <c r="M513" s="356">
        <f t="shared" si="92"/>
        <v>1</v>
      </c>
      <c r="N513" s="130">
        <f t="shared" si="104"/>
        <v>365</v>
      </c>
      <c r="O513" s="130">
        <v>0</v>
      </c>
      <c r="P513" s="354">
        <f>N513</f>
        <v>365</v>
      </c>
      <c r="Q513" s="355">
        <v>0</v>
      </c>
      <c r="R513" s="356"/>
      <c r="S513" s="356"/>
      <c r="T513" s="492"/>
    </row>
    <row r="514" spans="1:20" s="167" customFormat="1" ht="14.25" customHeight="1">
      <c r="A514" s="510"/>
      <c r="B514" s="533" t="s">
        <v>16</v>
      </c>
      <c r="C514" s="129" t="s">
        <v>99</v>
      </c>
      <c r="D514" s="6"/>
      <c r="E514" s="6"/>
      <c r="F514" s="6"/>
      <c r="G514" s="6"/>
      <c r="H514" s="6">
        <v>29725</v>
      </c>
      <c r="I514" s="6">
        <v>0</v>
      </c>
      <c r="J514" s="6">
        <v>0</v>
      </c>
      <c r="K514" s="130">
        <v>561</v>
      </c>
      <c r="L514" s="130">
        <v>561</v>
      </c>
      <c r="M514" s="356">
        <f t="shared" si="92"/>
        <v>1</v>
      </c>
      <c r="N514" s="130">
        <f t="shared" si="104"/>
        <v>561</v>
      </c>
      <c r="O514" s="130">
        <v>0</v>
      </c>
      <c r="P514" s="354"/>
      <c r="Q514" s="355">
        <v>0</v>
      </c>
      <c r="R514" s="356"/>
      <c r="S514" s="356"/>
      <c r="T514" s="492"/>
    </row>
    <row r="515" spans="1:20" s="167" customFormat="1" ht="12.75" customHeight="1">
      <c r="A515" s="510"/>
      <c r="B515" s="533" t="s">
        <v>22</v>
      </c>
      <c r="C515" s="129" t="s">
        <v>23</v>
      </c>
      <c r="D515" s="6"/>
      <c r="E515" s="6"/>
      <c r="F515" s="6"/>
      <c r="G515" s="6"/>
      <c r="H515" s="6"/>
      <c r="I515" s="6"/>
      <c r="J515" s="6"/>
      <c r="K515" s="130">
        <v>452</v>
      </c>
      <c r="L515" s="130">
        <v>452</v>
      </c>
      <c r="M515" s="356">
        <f t="shared" si="92"/>
        <v>1</v>
      </c>
      <c r="N515" s="130">
        <f t="shared" si="104"/>
        <v>452</v>
      </c>
      <c r="O515" s="130">
        <v>0</v>
      </c>
      <c r="P515" s="354"/>
      <c r="Q515" s="355">
        <v>0</v>
      </c>
      <c r="R515" s="356"/>
      <c r="S515" s="356"/>
      <c r="T515" s="492"/>
    </row>
    <row r="516" spans="1:20" s="167" customFormat="1" ht="21.75" customHeight="1">
      <c r="A516" s="508" t="s">
        <v>339</v>
      </c>
      <c r="B516" s="543"/>
      <c r="C516" s="327" t="s">
        <v>340</v>
      </c>
      <c r="D516" s="326" t="e">
        <f>D518+D519+D520+#REF!</f>
        <v>#REF!</v>
      </c>
      <c r="E516" s="326" t="e">
        <f>E518+E519+E520+E521+#REF!+#REF!+E523+E524+#REF!+E527+E530+#REF!+E532</f>
        <v>#REF!</v>
      </c>
      <c r="F516" s="326" t="e">
        <f>F518+F519+F520+F521+#REF!+#REF!+F523+F524+#REF!+F527+F530+#REF!+F532</f>
        <v>#REF!</v>
      </c>
      <c r="G516" s="326" t="e">
        <f>G518+G519+G520+G521+#REF!+#REF!+G523+G524+#REF!+G527+G530+#REF!+G532</f>
        <v>#REF!</v>
      </c>
      <c r="H516" s="326" t="e">
        <f>H518+H519+H520+H521+H523+H524+H527+H530+#REF!+H531+H532</f>
        <v>#REF!</v>
      </c>
      <c r="I516" s="326" t="e">
        <f>I518+I519+I520+I521+I523+I524+I527+I530+#REF!+I531+I532</f>
        <v>#REF!</v>
      </c>
      <c r="J516" s="326" t="e">
        <f>J518+J519+J520+J521+J523+J524+J527+J530+#REF!+J531+J532</f>
        <v>#REF!</v>
      </c>
      <c r="K516" s="353">
        <f>SUM(K517:K533)</f>
        <v>945113</v>
      </c>
      <c r="L516" s="353">
        <f>SUM(L517:L533)</f>
        <v>940000</v>
      </c>
      <c r="M516" s="541">
        <f>L516/K516</f>
        <v>0.9945900648917113</v>
      </c>
      <c r="N516" s="353">
        <f aca="true" t="shared" si="105" ref="N516:T516">SUM(N517:N533)</f>
        <v>940000</v>
      </c>
      <c r="O516" s="353">
        <f t="shared" si="105"/>
        <v>691503</v>
      </c>
      <c r="P516" s="353">
        <f t="shared" si="105"/>
        <v>91122</v>
      </c>
      <c r="Q516" s="353">
        <f t="shared" si="105"/>
        <v>0</v>
      </c>
      <c r="R516" s="353">
        <f t="shared" si="105"/>
        <v>0</v>
      </c>
      <c r="S516" s="353">
        <f t="shared" si="105"/>
        <v>0</v>
      </c>
      <c r="T516" s="491">
        <f t="shared" si="105"/>
        <v>0</v>
      </c>
    </row>
    <row r="517" spans="1:20" s="167" customFormat="1" ht="15.75" customHeight="1">
      <c r="A517" s="526"/>
      <c r="B517" s="533" t="s">
        <v>910</v>
      </c>
      <c r="C517" s="129" t="s">
        <v>400</v>
      </c>
      <c r="D517" s="5"/>
      <c r="E517" s="5"/>
      <c r="F517" s="5"/>
      <c r="G517" s="5"/>
      <c r="H517" s="5"/>
      <c r="I517" s="5"/>
      <c r="J517" s="5"/>
      <c r="K517" s="130">
        <v>250</v>
      </c>
      <c r="L517" s="130">
        <v>1300</v>
      </c>
      <c r="M517" s="356">
        <f t="shared" si="92"/>
        <v>5.2</v>
      </c>
      <c r="N517" s="130">
        <f>L517</f>
        <v>1300</v>
      </c>
      <c r="O517" s="134">
        <v>0</v>
      </c>
      <c r="P517" s="130"/>
      <c r="Q517" s="134"/>
      <c r="R517" s="356"/>
      <c r="S517" s="356"/>
      <c r="T517" s="492"/>
    </row>
    <row r="518" spans="1:20" s="167" customFormat="1" ht="21.75" customHeight="1">
      <c r="A518" s="510"/>
      <c r="B518" s="533" t="s">
        <v>2</v>
      </c>
      <c r="C518" s="129" t="s">
        <v>3</v>
      </c>
      <c r="D518" s="6">
        <v>606420</v>
      </c>
      <c r="E518" s="6">
        <v>652585</v>
      </c>
      <c r="F518" s="6">
        <v>0</v>
      </c>
      <c r="G518" s="6">
        <v>0</v>
      </c>
      <c r="H518" s="6">
        <v>370235</v>
      </c>
      <c r="I518" s="6">
        <v>0</v>
      </c>
      <c r="J518" s="6">
        <v>0</v>
      </c>
      <c r="K518" s="130">
        <v>566083</v>
      </c>
      <c r="L518" s="130">
        <v>635840</v>
      </c>
      <c r="M518" s="356">
        <f t="shared" si="92"/>
        <v>1.1232275125732445</v>
      </c>
      <c r="N518" s="130">
        <f aca="true" t="shared" si="106" ref="N518:N532">L518</f>
        <v>635840</v>
      </c>
      <c r="O518" s="130">
        <f>N518</f>
        <v>635840</v>
      </c>
      <c r="P518" s="130"/>
      <c r="Q518" s="354">
        <v>0</v>
      </c>
      <c r="R518" s="356"/>
      <c r="S518" s="356"/>
      <c r="T518" s="492"/>
    </row>
    <row r="519" spans="1:20" s="167" customFormat="1" ht="15" customHeight="1">
      <c r="A519" s="510"/>
      <c r="B519" s="533" t="s">
        <v>6</v>
      </c>
      <c r="C519" s="129" t="s">
        <v>7</v>
      </c>
      <c r="D519" s="6">
        <v>48267</v>
      </c>
      <c r="E519" s="6">
        <v>48566</v>
      </c>
      <c r="F519" s="6">
        <v>0</v>
      </c>
      <c r="G519" s="6">
        <v>0</v>
      </c>
      <c r="H519" s="14">
        <v>28767</v>
      </c>
      <c r="I519" s="14">
        <v>0</v>
      </c>
      <c r="J519" s="14">
        <v>0</v>
      </c>
      <c r="K519" s="130">
        <v>42907</v>
      </c>
      <c r="L519" s="130">
        <v>49263</v>
      </c>
      <c r="M519" s="356">
        <f t="shared" si="92"/>
        <v>1.1481343370545598</v>
      </c>
      <c r="N519" s="130">
        <f t="shared" si="106"/>
        <v>49263</v>
      </c>
      <c r="O519" s="130">
        <f>N519</f>
        <v>49263</v>
      </c>
      <c r="P519" s="130"/>
      <c r="Q519" s="354">
        <v>0</v>
      </c>
      <c r="R519" s="356"/>
      <c r="S519" s="356"/>
      <c r="T519" s="492"/>
    </row>
    <row r="520" spans="1:20" s="167" customFormat="1" ht="15" customHeight="1">
      <c r="A520" s="510"/>
      <c r="B520" s="536" t="s">
        <v>56</v>
      </c>
      <c r="C520" s="129" t="s">
        <v>70</v>
      </c>
      <c r="D520" s="6">
        <v>131863</v>
      </c>
      <c r="E520" s="6">
        <v>124716</v>
      </c>
      <c r="F520" s="6">
        <v>0</v>
      </c>
      <c r="G520" s="6">
        <v>0</v>
      </c>
      <c r="H520" s="6">
        <v>68092</v>
      </c>
      <c r="I520" s="6">
        <v>0</v>
      </c>
      <c r="J520" s="6">
        <v>0</v>
      </c>
      <c r="K520" s="130">
        <v>105116</v>
      </c>
      <c r="L520" s="130">
        <v>80700</v>
      </c>
      <c r="M520" s="356">
        <f t="shared" si="92"/>
        <v>0.7677232771414437</v>
      </c>
      <c r="N520" s="130">
        <f t="shared" si="106"/>
        <v>80700</v>
      </c>
      <c r="O520" s="130">
        <v>0</v>
      </c>
      <c r="P520" s="130">
        <f>N520</f>
        <v>80700</v>
      </c>
      <c r="Q520" s="354">
        <v>0</v>
      </c>
      <c r="R520" s="356"/>
      <c r="S520" s="356"/>
      <c r="T520" s="492"/>
    </row>
    <row r="521" spans="1:20" s="167" customFormat="1" ht="15" customHeight="1">
      <c r="A521" s="510"/>
      <c r="B521" s="536" t="s">
        <v>8</v>
      </c>
      <c r="C521" s="129" t="s">
        <v>9</v>
      </c>
      <c r="D521" s="6"/>
      <c r="E521" s="6">
        <v>16239</v>
      </c>
      <c r="F521" s="6">
        <v>0</v>
      </c>
      <c r="G521" s="6">
        <v>0</v>
      </c>
      <c r="H521" s="6">
        <v>11100</v>
      </c>
      <c r="I521" s="6">
        <v>0</v>
      </c>
      <c r="J521" s="6">
        <v>0</v>
      </c>
      <c r="K521" s="130">
        <v>16529</v>
      </c>
      <c r="L521" s="130">
        <v>10422</v>
      </c>
      <c r="M521" s="356">
        <f t="shared" si="92"/>
        <v>0.6305281626232682</v>
      </c>
      <c r="N521" s="130">
        <f t="shared" si="106"/>
        <v>10422</v>
      </c>
      <c r="O521" s="130">
        <v>0</v>
      </c>
      <c r="P521" s="130">
        <f>N521</f>
        <v>10422</v>
      </c>
      <c r="Q521" s="354">
        <v>0</v>
      </c>
      <c r="R521" s="356"/>
      <c r="S521" s="356"/>
      <c r="T521" s="492"/>
    </row>
    <row r="522" spans="1:20" s="167" customFormat="1" ht="14.25" customHeight="1">
      <c r="A522" s="510"/>
      <c r="B522" s="533" t="s">
        <v>735</v>
      </c>
      <c r="C522" s="129" t="s">
        <v>736</v>
      </c>
      <c r="D522" s="6"/>
      <c r="E522" s="6"/>
      <c r="F522" s="6"/>
      <c r="G522" s="6"/>
      <c r="H522" s="5"/>
      <c r="I522" s="5"/>
      <c r="J522" s="5"/>
      <c r="K522" s="130">
        <v>16340</v>
      </c>
      <c r="L522" s="130">
        <v>6400</v>
      </c>
      <c r="M522" s="356">
        <f aca="true" t="shared" si="107" ref="M522:M585">L522/K522</f>
        <v>0.39167686658506734</v>
      </c>
      <c r="N522" s="130">
        <f t="shared" si="106"/>
        <v>6400</v>
      </c>
      <c r="O522" s="130">
        <f>N522</f>
        <v>6400</v>
      </c>
      <c r="P522" s="130"/>
      <c r="Q522" s="354">
        <v>0</v>
      </c>
      <c r="R522" s="356"/>
      <c r="S522" s="356"/>
      <c r="T522" s="492"/>
    </row>
    <row r="523" spans="1:20" s="167" customFormat="1" ht="14.25" customHeight="1">
      <c r="A523" s="510"/>
      <c r="B523" s="533" t="s">
        <v>10</v>
      </c>
      <c r="C523" s="129" t="s">
        <v>141</v>
      </c>
      <c r="D523" s="6"/>
      <c r="E523" s="6">
        <v>20202</v>
      </c>
      <c r="F523" s="6">
        <v>0</v>
      </c>
      <c r="G523" s="6">
        <v>0</v>
      </c>
      <c r="H523" s="6">
        <v>25567</v>
      </c>
      <c r="I523" s="6">
        <v>0</v>
      </c>
      <c r="J523" s="6">
        <v>0</v>
      </c>
      <c r="K523" s="130">
        <v>39060</v>
      </c>
      <c r="L523" s="130">
        <v>40800</v>
      </c>
      <c r="M523" s="356">
        <f t="shared" si="107"/>
        <v>1.044546850998464</v>
      </c>
      <c r="N523" s="130">
        <f t="shared" si="106"/>
        <v>40800</v>
      </c>
      <c r="O523" s="130">
        <v>0</v>
      </c>
      <c r="P523" s="130"/>
      <c r="Q523" s="354">
        <v>0</v>
      </c>
      <c r="R523" s="356"/>
      <c r="S523" s="356"/>
      <c r="T523" s="492"/>
    </row>
    <row r="524" spans="1:20" s="167" customFormat="1" ht="13.5" customHeight="1">
      <c r="A524" s="510"/>
      <c r="B524" s="533" t="s">
        <v>12</v>
      </c>
      <c r="C524" s="129" t="s">
        <v>97</v>
      </c>
      <c r="D524" s="6"/>
      <c r="E524" s="6">
        <v>31800</v>
      </c>
      <c r="F524" s="6">
        <v>0</v>
      </c>
      <c r="G524" s="6">
        <v>0</v>
      </c>
      <c r="H524" s="6">
        <v>34876</v>
      </c>
      <c r="I524" s="6">
        <v>0</v>
      </c>
      <c r="J524" s="6">
        <v>0</v>
      </c>
      <c r="K524" s="130">
        <v>29516</v>
      </c>
      <c r="L524" s="130">
        <v>16600</v>
      </c>
      <c r="M524" s="356">
        <f t="shared" si="107"/>
        <v>0.5624068301937932</v>
      </c>
      <c r="N524" s="130">
        <f t="shared" si="106"/>
        <v>16600</v>
      </c>
      <c r="O524" s="130">
        <v>0</v>
      </c>
      <c r="P524" s="130"/>
      <c r="Q524" s="354">
        <v>0</v>
      </c>
      <c r="R524" s="356"/>
      <c r="S524" s="356"/>
      <c r="T524" s="492"/>
    </row>
    <row r="525" spans="1:20" s="167" customFormat="1" ht="13.5" customHeight="1">
      <c r="A525" s="510"/>
      <c r="B525" s="533" t="s">
        <v>14</v>
      </c>
      <c r="C525" s="130" t="s">
        <v>98</v>
      </c>
      <c r="D525" s="6"/>
      <c r="E525" s="6"/>
      <c r="F525" s="6"/>
      <c r="G525" s="6"/>
      <c r="H525" s="6"/>
      <c r="I525" s="6"/>
      <c r="J525" s="6"/>
      <c r="K525" s="130">
        <v>9500</v>
      </c>
      <c r="L525" s="130">
        <v>47100</v>
      </c>
      <c r="M525" s="356">
        <f t="shared" si="107"/>
        <v>4.957894736842105</v>
      </c>
      <c r="N525" s="130">
        <f t="shared" si="106"/>
        <v>47100</v>
      </c>
      <c r="O525" s="130">
        <v>0</v>
      </c>
      <c r="P525" s="130"/>
      <c r="Q525" s="354"/>
      <c r="R525" s="356"/>
      <c r="S525" s="356"/>
      <c r="T525" s="492"/>
    </row>
    <row r="526" spans="1:20" s="167" customFormat="1" ht="13.5" customHeight="1">
      <c r="A526" s="510"/>
      <c r="B526" s="533" t="s">
        <v>76</v>
      </c>
      <c r="C526" s="130" t="s">
        <v>77</v>
      </c>
      <c r="D526" s="6"/>
      <c r="E526" s="6"/>
      <c r="F526" s="6"/>
      <c r="G526" s="6"/>
      <c r="H526" s="6"/>
      <c r="I526" s="6"/>
      <c r="J526" s="6"/>
      <c r="K526" s="130">
        <v>1100</v>
      </c>
      <c r="L526" s="130">
        <v>1100</v>
      </c>
      <c r="M526" s="356">
        <f t="shared" si="107"/>
        <v>1</v>
      </c>
      <c r="N526" s="130">
        <f t="shared" si="106"/>
        <v>1100</v>
      </c>
      <c r="O526" s="130">
        <v>0</v>
      </c>
      <c r="P526" s="130"/>
      <c r="Q526" s="354"/>
      <c r="R526" s="356"/>
      <c r="S526" s="356"/>
      <c r="T526" s="492"/>
    </row>
    <row r="527" spans="1:20" s="167" customFormat="1" ht="15" customHeight="1">
      <c r="A527" s="510"/>
      <c r="B527" s="533" t="s">
        <v>16</v>
      </c>
      <c r="C527" s="129" t="s">
        <v>99</v>
      </c>
      <c r="D527" s="6"/>
      <c r="E527" s="6">
        <v>17850</v>
      </c>
      <c r="F527" s="6">
        <v>0</v>
      </c>
      <c r="G527" s="6">
        <v>0</v>
      </c>
      <c r="H527" s="6">
        <v>33475</v>
      </c>
      <c r="I527" s="6">
        <v>0</v>
      </c>
      <c r="J527" s="6">
        <v>0</v>
      </c>
      <c r="K527" s="130">
        <v>32110</v>
      </c>
      <c r="L527" s="130">
        <v>11659</v>
      </c>
      <c r="M527" s="356">
        <f t="shared" si="107"/>
        <v>0.3630956088445967</v>
      </c>
      <c r="N527" s="130">
        <f t="shared" si="106"/>
        <v>11659</v>
      </c>
      <c r="O527" s="130">
        <v>0</v>
      </c>
      <c r="P527" s="130"/>
      <c r="Q527" s="354">
        <v>0</v>
      </c>
      <c r="R527" s="356"/>
      <c r="S527" s="356"/>
      <c r="T527" s="492"/>
    </row>
    <row r="528" spans="1:20" s="167" customFormat="1" ht="15" customHeight="1">
      <c r="A528" s="510"/>
      <c r="B528" s="533" t="s">
        <v>324</v>
      </c>
      <c r="C528" s="129" t="s">
        <v>326</v>
      </c>
      <c r="D528" s="6"/>
      <c r="E528" s="6"/>
      <c r="F528" s="6"/>
      <c r="G528" s="6"/>
      <c r="H528" s="6"/>
      <c r="I528" s="6"/>
      <c r="J528" s="6"/>
      <c r="K528" s="130">
        <v>1600</v>
      </c>
      <c r="L528" s="130">
        <v>1600</v>
      </c>
      <c r="M528" s="356">
        <f t="shared" si="107"/>
        <v>1</v>
      </c>
      <c r="N528" s="130">
        <f t="shared" si="106"/>
        <v>1600</v>
      </c>
      <c r="O528" s="130">
        <v>0</v>
      </c>
      <c r="P528" s="130"/>
      <c r="Q528" s="354"/>
      <c r="R528" s="356"/>
      <c r="S528" s="356"/>
      <c r="T528" s="492"/>
    </row>
    <row r="529" spans="1:20" s="167" customFormat="1" ht="15" customHeight="1">
      <c r="A529" s="510"/>
      <c r="B529" s="533" t="s">
        <v>316</v>
      </c>
      <c r="C529" s="129" t="s">
        <v>320</v>
      </c>
      <c r="D529" s="6"/>
      <c r="E529" s="6"/>
      <c r="F529" s="6"/>
      <c r="G529" s="6"/>
      <c r="H529" s="6"/>
      <c r="I529" s="6"/>
      <c r="J529" s="6"/>
      <c r="K529" s="130">
        <v>2410</v>
      </c>
      <c r="L529" s="130">
        <v>2410</v>
      </c>
      <c r="M529" s="356">
        <f t="shared" si="107"/>
        <v>1</v>
      </c>
      <c r="N529" s="130">
        <f t="shared" si="106"/>
        <v>2410</v>
      </c>
      <c r="O529" s="130">
        <v>0</v>
      </c>
      <c r="P529" s="130"/>
      <c r="Q529" s="354"/>
      <c r="R529" s="356"/>
      <c r="S529" s="356"/>
      <c r="T529" s="492"/>
    </row>
    <row r="530" spans="1:20" s="167" customFormat="1" ht="14.25" customHeight="1">
      <c r="A530" s="510"/>
      <c r="B530" s="533" t="s">
        <v>18</v>
      </c>
      <c r="C530" s="129" t="s">
        <v>19</v>
      </c>
      <c r="D530" s="6"/>
      <c r="E530" s="6">
        <v>1400</v>
      </c>
      <c r="F530" s="6">
        <v>0</v>
      </c>
      <c r="G530" s="6">
        <v>0</v>
      </c>
      <c r="H530" s="6">
        <v>2000</v>
      </c>
      <c r="I530" s="6">
        <v>0</v>
      </c>
      <c r="J530" s="6">
        <v>0</v>
      </c>
      <c r="K530" s="130">
        <v>900</v>
      </c>
      <c r="L530" s="130">
        <v>2000</v>
      </c>
      <c r="M530" s="356">
        <f t="shared" si="107"/>
        <v>2.2222222222222223</v>
      </c>
      <c r="N530" s="130">
        <f t="shared" si="106"/>
        <v>2000</v>
      </c>
      <c r="O530" s="130">
        <v>0</v>
      </c>
      <c r="P530" s="130"/>
      <c r="Q530" s="354">
        <v>0</v>
      </c>
      <c r="R530" s="356"/>
      <c r="S530" s="356"/>
      <c r="T530" s="492"/>
    </row>
    <row r="531" spans="1:20" s="167" customFormat="1" ht="14.25" customHeight="1">
      <c r="A531" s="510"/>
      <c r="B531" s="533" t="s">
        <v>22</v>
      </c>
      <c r="C531" s="129" t="s">
        <v>23</v>
      </c>
      <c r="D531" s="6"/>
      <c r="E531" s="6"/>
      <c r="F531" s="6"/>
      <c r="G531" s="6"/>
      <c r="H531" s="6">
        <v>12853</v>
      </c>
      <c r="I531" s="6">
        <v>0</v>
      </c>
      <c r="J531" s="6">
        <v>0</v>
      </c>
      <c r="K531" s="130">
        <v>23692</v>
      </c>
      <c r="L531" s="130">
        <v>29806</v>
      </c>
      <c r="M531" s="356">
        <f t="shared" si="107"/>
        <v>1.2580617930102989</v>
      </c>
      <c r="N531" s="130">
        <f t="shared" si="106"/>
        <v>29806</v>
      </c>
      <c r="O531" s="130">
        <v>0</v>
      </c>
      <c r="P531" s="130"/>
      <c r="Q531" s="354">
        <v>0</v>
      </c>
      <c r="R531" s="356"/>
      <c r="S531" s="356"/>
      <c r="T531" s="492"/>
    </row>
    <row r="532" spans="1:20" s="167" customFormat="1" ht="14.25" customHeight="1">
      <c r="A532" s="510"/>
      <c r="B532" s="533" t="s">
        <v>38</v>
      </c>
      <c r="C532" s="129" t="s">
        <v>39</v>
      </c>
      <c r="D532" s="6"/>
      <c r="E532" s="6">
        <v>3250</v>
      </c>
      <c r="F532" s="6">
        <v>0</v>
      </c>
      <c r="G532" s="6">
        <v>0</v>
      </c>
      <c r="H532" s="6">
        <v>2540</v>
      </c>
      <c r="I532" s="6">
        <v>0</v>
      </c>
      <c r="J532" s="6">
        <v>0</v>
      </c>
      <c r="K532" s="130">
        <v>0</v>
      </c>
      <c r="L532" s="130">
        <v>3000</v>
      </c>
      <c r="M532" s="356">
        <v>0</v>
      </c>
      <c r="N532" s="130">
        <f t="shared" si="106"/>
        <v>3000</v>
      </c>
      <c r="O532" s="130">
        <v>0</v>
      </c>
      <c r="P532" s="130"/>
      <c r="Q532" s="354">
        <v>0</v>
      </c>
      <c r="R532" s="356"/>
      <c r="S532" s="356"/>
      <c r="T532" s="492"/>
    </row>
    <row r="533" spans="1:20" s="167" customFormat="1" ht="15" customHeight="1">
      <c r="A533" s="510"/>
      <c r="B533" s="533" t="s">
        <v>42</v>
      </c>
      <c r="C533" s="129" t="s">
        <v>857</v>
      </c>
      <c r="D533" s="6"/>
      <c r="E533" s="6"/>
      <c r="F533" s="6"/>
      <c r="G533" s="6"/>
      <c r="H533" s="6"/>
      <c r="I533" s="6"/>
      <c r="J533" s="6"/>
      <c r="K533" s="130">
        <v>58000</v>
      </c>
      <c r="L533" s="130">
        <v>0</v>
      </c>
      <c r="M533" s="356">
        <f t="shared" si="107"/>
        <v>0</v>
      </c>
      <c r="N533" s="130"/>
      <c r="O533" s="130">
        <v>0</v>
      </c>
      <c r="P533" s="354">
        <f>L533-O533</f>
        <v>0</v>
      </c>
      <c r="Q533" s="354">
        <v>0</v>
      </c>
      <c r="R533" s="356"/>
      <c r="S533" s="356"/>
      <c r="T533" s="498">
        <f>L533</f>
        <v>0</v>
      </c>
    </row>
    <row r="534" spans="1:20" s="167" customFormat="1" ht="21.75" customHeight="1">
      <c r="A534" s="508" t="s">
        <v>303</v>
      </c>
      <c r="B534" s="543"/>
      <c r="C534" s="327" t="s">
        <v>72</v>
      </c>
      <c r="D534" s="329"/>
      <c r="E534" s="329"/>
      <c r="F534" s="329"/>
      <c r="G534" s="329"/>
      <c r="H534" s="329"/>
      <c r="I534" s="329"/>
      <c r="J534" s="329"/>
      <c r="K534" s="353">
        <f>SUM(K535:K548)</f>
        <v>326390</v>
      </c>
      <c r="L534" s="353">
        <f>SUM(L535:L548)</f>
        <v>0</v>
      </c>
      <c r="M534" s="353">
        <f aca="true" t="shared" si="108" ref="M534:T534">SUM(M535:M548)</f>
        <v>0</v>
      </c>
      <c r="N534" s="353">
        <f t="shared" si="108"/>
        <v>0</v>
      </c>
      <c r="O534" s="353">
        <f t="shared" si="108"/>
        <v>0</v>
      </c>
      <c r="P534" s="353">
        <f t="shared" si="108"/>
        <v>0</v>
      </c>
      <c r="Q534" s="353">
        <f t="shared" si="108"/>
        <v>0</v>
      </c>
      <c r="R534" s="353">
        <f t="shared" si="108"/>
        <v>0</v>
      </c>
      <c r="S534" s="353">
        <f t="shared" si="108"/>
        <v>0</v>
      </c>
      <c r="T534" s="491">
        <f t="shared" si="108"/>
        <v>0</v>
      </c>
    </row>
    <row r="535" spans="1:20" s="167" customFormat="1" ht="15" customHeight="1">
      <c r="A535" s="510"/>
      <c r="B535" s="533" t="s">
        <v>304</v>
      </c>
      <c r="C535" s="130" t="s">
        <v>282</v>
      </c>
      <c r="D535" s="6"/>
      <c r="E535" s="6"/>
      <c r="F535" s="6"/>
      <c r="G535" s="6"/>
      <c r="H535" s="6"/>
      <c r="I535" s="6"/>
      <c r="J535" s="6"/>
      <c r="K535" s="130">
        <v>11745</v>
      </c>
      <c r="L535" s="358">
        <v>0</v>
      </c>
      <c r="M535" s="356">
        <f t="shared" si="107"/>
        <v>0</v>
      </c>
      <c r="N535" s="130">
        <f>L535</f>
        <v>0</v>
      </c>
      <c r="O535" s="130">
        <v>0</v>
      </c>
      <c r="P535" s="354">
        <v>0</v>
      </c>
      <c r="Q535" s="355">
        <v>0</v>
      </c>
      <c r="R535" s="356"/>
      <c r="S535" s="356"/>
      <c r="T535" s="492"/>
    </row>
    <row r="536" spans="1:20" s="167" customFormat="1" ht="15" customHeight="1">
      <c r="A536" s="510"/>
      <c r="B536" s="533" t="s">
        <v>305</v>
      </c>
      <c r="C536" s="130" t="s">
        <v>282</v>
      </c>
      <c r="D536" s="6"/>
      <c r="E536" s="6"/>
      <c r="F536" s="6"/>
      <c r="G536" s="6"/>
      <c r="H536" s="6"/>
      <c r="I536" s="6"/>
      <c r="J536" s="6"/>
      <c r="K536" s="130">
        <v>3915</v>
      </c>
      <c r="L536" s="358">
        <v>0</v>
      </c>
      <c r="M536" s="356">
        <f t="shared" si="107"/>
        <v>0</v>
      </c>
      <c r="N536" s="130">
        <f aca="true" t="shared" si="109" ref="N536:N548">L536</f>
        <v>0</v>
      </c>
      <c r="O536" s="130">
        <v>0</v>
      </c>
      <c r="P536" s="354">
        <v>0</v>
      </c>
      <c r="Q536" s="355">
        <v>0</v>
      </c>
      <c r="R536" s="356"/>
      <c r="S536" s="356"/>
      <c r="T536" s="492"/>
    </row>
    <row r="537" spans="1:20" s="167" customFormat="1" ht="21" customHeight="1">
      <c r="A537" s="510"/>
      <c r="B537" s="533" t="s">
        <v>294</v>
      </c>
      <c r="C537" s="129" t="s">
        <v>3</v>
      </c>
      <c r="D537" s="6"/>
      <c r="E537" s="6"/>
      <c r="F537" s="6"/>
      <c r="G537" s="6"/>
      <c r="H537" s="6"/>
      <c r="I537" s="6"/>
      <c r="J537" s="6"/>
      <c r="K537" s="130">
        <v>18431</v>
      </c>
      <c r="L537" s="358">
        <v>0</v>
      </c>
      <c r="M537" s="356">
        <f t="shared" si="107"/>
        <v>0</v>
      </c>
      <c r="N537" s="130">
        <f t="shared" si="109"/>
        <v>0</v>
      </c>
      <c r="O537" s="130">
        <f>N537</f>
        <v>0</v>
      </c>
      <c r="P537" s="354">
        <v>0</v>
      </c>
      <c r="Q537" s="355">
        <v>0</v>
      </c>
      <c r="R537" s="356"/>
      <c r="S537" s="356"/>
      <c r="T537" s="492"/>
    </row>
    <row r="538" spans="1:20" s="167" customFormat="1" ht="21.75" customHeight="1">
      <c r="A538" s="510"/>
      <c r="B538" s="533" t="s">
        <v>295</v>
      </c>
      <c r="C538" s="129" t="s">
        <v>3</v>
      </c>
      <c r="D538" s="6"/>
      <c r="E538" s="6"/>
      <c r="F538" s="6"/>
      <c r="G538" s="6"/>
      <c r="H538" s="6"/>
      <c r="I538" s="6"/>
      <c r="J538" s="6"/>
      <c r="K538" s="130">
        <v>6144</v>
      </c>
      <c r="L538" s="358">
        <v>0</v>
      </c>
      <c r="M538" s="356">
        <f t="shared" si="107"/>
        <v>0</v>
      </c>
      <c r="N538" s="130">
        <f t="shared" si="109"/>
        <v>0</v>
      </c>
      <c r="O538" s="130">
        <f>N538</f>
        <v>0</v>
      </c>
      <c r="P538" s="354">
        <v>0</v>
      </c>
      <c r="Q538" s="355">
        <v>0</v>
      </c>
      <c r="R538" s="356"/>
      <c r="S538" s="356"/>
      <c r="T538" s="492"/>
    </row>
    <row r="539" spans="1:20" s="167" customFormat="1" ht="15" customHeight="1">
      <c r="A539" s="510"/>
      <c r="B539" s="533" t="s">
        <v>296</v>
      </c>
      <c r="C539" s="129" t="s">
        <v>292</v>
      </c>
      <c r="D539" s="6"/>
      <c r="E539" s="6"/>
      <c r="F539" s="6"/>
      <c r="G539" s="6"/>
      <c r="H539" s="6"/>
      <c r="I539" s="6"/>
      <c r="J539" s="6"/>
      <c r="K539" s="130">
        <v>8765</v>
      </c>
      <c r="L539" s="358">
        <v>0</v>
      </c>
      <c r="M539" s="356">
        <f t="shared" si="107"/>
        <v>0</v>
      </c>
      <c r="N539" s="130">
        <f t="shared" si="109"/>
        <v>0</v>
      </c>
      <c r="O539" s="130">
        <v>0</v>
      </c>
      <c r="P539" s="354">
        <f>N539</f>
        <v>0</v>
      </c>
      <c r="Q539" s="355">
        <v>0</v>
      </c>
      <c r="R539" s="356"/>
      <c r="S539" s="356"/>
      <c r="T539" s="492"/>
    </row>
    <row r="540" spans="1:20" s="167" customFormat="1" ht="15" customHeight="1">
      <c r="A540" s="510"/>
      <c r="B540" s="533" t="s">
        <v>297</v>
      </c>
      <c r="C540" s="129" t="s">
        <v>292</v>
      </c>
      <c r="D540" s="6"/>
      <c r="E540" s="6"/>
      <c r="F540" s="6"/>
      <c r="G540" s="6"/>
      <c r="H540" s="6"/>
      <c r="I540" s="6"/>
      <c r="J540" s="6"/>
      <c r="K540" s="130">
        <v>2922</v>
      </c>
      <c r="L540" s="358">
        <v>0</v>
      </c>
      <c r="M540" s="356">
        <f t="shared" si="107"/>
        <v>0</v>
      </c>
      <c r="N540" s="130">
        <f t="shared" si="109"/>
        <v>0</v>
      </c>
      <c r="O540" s="130">
        <v>0</v>
      </c>
      <c r="P540" s="354">
        <f>N540</f>
        <v>0</v>
      </c>
      <c r="Q540" s="355">
        <v>0</v>
      </c>
      <c r="R540" s="356"/>
      <c r="S540" s="356"/>
      <c r="T540" s="492"/>
    </row>
    <row r="541" spans="1:20" s="167" customFormat="1" ht="15" customHeight="1">
      <c r="A541" s="510"/>
      <c r="B541" s="533" t="s">
        <v>298</v>
      </c>
      <c r="C541" s="129" t="s">
        <v>9</v>
      </c>
      <c r="D541" s="6"/>
      <c r="E541" s="6"/>
      <c r="F541" s="6"/>
      <c r="G541" s="6"/>
      <c r="H541" s="6"/>
      <c r="I541" s="6"/>
      <c r="J541" s="6"/>
      <c r="K541" s="130">
        <v>1255</v>
      </c>
      <c r="L541" s="358">
        <v>0</v>
      </c>
      <c r="M541" s="356">
        <f t="shared" si="107"/>
        <v>0</v>
      </c>
      <c r="N541" s="130">
        <f t="shared" si="109"/>
        <v>0</v>
      </c>
      <c r="O541" s="130">
        <v>0</v>
      </c>
      <c r="P541" s="354">
        <f>N541</f>
        <v>0</v>
      </c>
      <c r="Q541" s="355">
        <v>0</v>
      </c>
      <c r="R541" s="356"/>
      <c r="S541" s="356"/>
      <c r="T541" s="492"/>
    </row>
    <row r="542" spans="1:20" s="167" customFormat="1" ht="15" customHeight="1">
      <c r="A542" s="510"/>
      <c r="B542" s="533" t="s">
        <v>299</v>
      </c>
      <c r="C542" s="129" t="s">
        <v>9</v>
      </c>
      <c r="D542" s="6"/>
      <c r="E542" s="6"/>
      <c r="F542" s="6"/>
      <c r="G542" s="6"/>
      <c r="H542" s="6"/>
      <c r="I542" s="6"/>
      <c r="J542" s="6"/>
      <c r="K542" s="130">
        <v>418</v>
      </c>
      <c r="L542" s="358">
        <v>0</v>
      </c>
      <c r="M542" s="356">
        <f t="shared" si="107"/>
        <v>0</v>
      </c>
      <c r="N542" s="130">
        <f t="shared" si="109"/>
        <v>0</v>
      </c>
      <c r="O542" s="130">
        <v>0</v>
      </c>
      <c r="P542" s="354">
        <f>N542</f>
        <v>0</v>
      </c>
      <c r="Q542" s="355">
        <v>0</v>
      </c>
      <c r="R542" s="356"/>
      <c r="S542" s="356"/>
      <c r="T542" s="492"/>
    </row>
    <row r="543" spans="1:20" s="167" customFormat="1" ht="15" customHeight="1">
      <c r="A543" s="510"/>
      <c r="B543" s="533" t="s">
        <v>385</v>
      </c>
      <c r="C543" s="129" t="s">
        <v>736</v>
      </c>
      <c r="D543" s="6"/>
      <c r="E543" s="6"/>
      <c r="F543" s="6"/>
      <c r="G543" s="6"/>
      <c r="H543" s="6"/>
      <c r="I543" s="6"/>
      <c r="J543" s="6"/>
      <c r="K543" s="130">
        <v>46399</v>
      </c>
      <c r="L543" s="358">
        <v>0</v>
      </c>
      <c r="M543" s="356">
        <f t="shared" si="107"/>
        <v>0</v>
      </c>
      <c r="N543" s="130">
        <f t="shared" si="109"/>
        <v>0</v>
      </c>
      <c r="O543" s="130">
        <f>N543</f>
        <v>0</v>
      </c>
      <c r="P543" s="354">
        <v>0</v>
      </c>
      <c r="Q543" s="355">
        <v>0</v>
      </c>
      <c r="R543" s="356"/>
      <c r="S543" s="356"/>
      <c r="T543" s="492"/>
    </row>
    <row r="544" spans="1:20" s="167" customFormat="1" ht="15" customHeight="1">
      <c r="A544" s="510"/>
      <c r="B544" s="533" t="s">
        <v>386</v>
      </c>
      <c r="C544" s="129" t="s">
        <v>736</v>
      </c>
      <c r="D544" s="6"/>
      <c r="E544" s="6"/>
      <c r="F544" s="6"/>
      <c r="G544" s="6"/>
      <c r="H544" s="6"/>
      <c r="I544" s="6"/>
      <c r="J544" s="6"/>
      <c r="K544" s="130">
        <v>15466</v>
      </c>
      <c r="L544" s="358">
        <v>0</v>
      </c>
      <c r="M544" s="356">
        <f t="shared" si="107"/>
        <v>0</v>
      </c>
      <c r="N544" s="130">
        <f t="shared" si="109"/>
        <v>0</v>
      </c>
      <c r="O544" s="130">
        <f>N544</f>
        <v>0</v>
      </c>
      <c r="P544" s="354">
        <v>0</v>
      </c>
      <c r="Q544" s="355">
        <v>0</v>
      </c>
      <c r="R544" s="356"/>
      <c r="S544" s="356"/>
      <c r="T544" s="492"/>
    </row>
    <row r="545" spans="1:20" s="167" customFormat="1" ht="15" customHeight="1">
      <c r="A545" s="510"/>
      <c r="B545" s="533" t="s">
        <v>387</v>
      </c>
      <c r="C545" s="129" t="s">
        <v>141</v>
      </c>
      <c r="D545" s="6"/>
      <c r="E545" s="6"/>
      <c r="F545" s="6"/>
      <c r="G545" s="6"/>
      <c r="H545" s="6"/>
      <c r="I545" s="6"/>
      <c r="J545" s="6"/>
      <c r="K545" s="130">
        <v>17547</v>
      </c>
      <c r="L545" s="358">
        <v>0</v>
      </c>
      <c r="M545" s="356">
        <f t="shared" si="107"/>
        <v>0</v>
      </c>
      <c r="N545" s="130">
        <f t="shared" si="109"/>
        <v>0</v>
      </c>
      <c r="O545" s="130">
        <v>0</v>
      </c>
      <c r="P545" s="354">
        <v>0</v>
      </c>
      <c r="Q545" s="355">
        <v>0</v>
      </c>
      <c r="R545" s="356"/>
      <c r="S545" s="356"/>
      <c r="T545" s="492"/>
    </row>
    <row r="546" spans="1:20" s="167" customFormat="1" ht="15" customHeight="1">
      <c r="A546" s="510"/>
      <c r="B546" s="533" t="s">
        <v>390</v>
      </c>
      <c r="C546" s="129" t="s">
        <v>141</v>
      </c>
      <c r="D546" s="6"/>
      <c r="E546" s="6"/>
      <c r="F546" s="6"/>
      <c r="G546" s="6"/>
      <c r="H546" s="6"/>
      <c r="I546" s="6"/>
      <c r="J546" s="6"/>
      <c r="K546" s="130">
        <v>5850</v>
      </c>
      <c r="L546" s="358">
        <v>0</v>
      </c>
      <c r="M546" s="356">
        <f t="shared" si="107"/>
        <v>0</v>
      </c>
      <c r="N546" s="130">
        <f t="shared" si="109"/>
        <v>0</v>
      </c>
      <c r="O546" s="130">
        <v>0</v>
      </c>
      <c r="P546" s="354">
        <v>0</v>
      </c>
      <c r="Q546" s="355">
        <v>0</v>
      </c>
      <c r="R546" s="356"/>
      <c r="S546" s="356"/>
      <c r="T546" s="492"/>
    </row>
    <row r="547" spans="1:20" s="167" customFormat="1" ht="15" customHeight="1">
      <c r="A547" s="510"/>
      <c r="B547" s="533" t="s">
        <v>388</v>
      </c>
      <c r="C547" s="129" t="s">
        <v>99</v>
      </c>
      <c r="D547" s="6"/>
      <c r="E547" s="6"/>
      <c r="F547" s="6"/>
      <c r="G547" s="6"/>
      <c r="H547" s="6"/>
      <c r="I547" s="6"/>
      <c r="J547" s="6"/>
      <c r="K547" s="130">
        <v>140648</v>
      </c>
      <c r="L547" s="358">
        <v>0</v>
      </c>
      <c r="M547" s="356">
        <f t="shared" si="107"/>
        <v>0</v>
      </c>
      <c r="N547" s="130">
        <f t="shared" si="109"/>
        <v>0</v>
      </c>
      <c r="O547" s="130">
        <v>0</v>
      </c>
      <c r="P547" s="354">
        <v>0</v>
      </c>
      <c r="Q547" s="355">
        <v>0</v>
      </c>
      <c r="R547" s="356"/>
      <c r="S547" s="356"/>
      <c r="T547" s="492"/>
    </row>
    <row r="548" spans="1:20" s="167" customFormat="1" ht="15" customHeight="1">
      <c r="A548" s="510"/>
      <c r="B548" s="533" t="s">
        <v>389</v>
      </c>
      <c r="C548" s="129" t="s">
        <v>99</v>
      </c>
      <c r="D548" s="6"/>
      <c r="E548" s="6"/>
      <c r="F548" s="6"/>
      <c r="G548" s="6"/>
      <c r="H548" s="6"/>
      <c r="I548" s="6"/>
      <c r="J548" s="6"/>
      <c r="K548" s="130">
        <v>46885</v>
      </c>
      <c r="L548" s="130">
        <v>0</v>
      </c>
      <c r="M548" s="356">
        <f t="shared" si="107"/>
        <v>0</v>
      </c>
      <c r="N548" s="130">
        <f t="shared" si="109"/>
        <v>0</v>
      </c>
      <c r="O548" s="130">
        <v>0</v>
      </c>
      <c r="P548" s="354">
        <v>0</v>
      </c>
      <c r="Q548" s="355">
        <v>0</v>
      </c>
      <c r="R548" s="356"/>
      <c r="S548" s="356"/>
      <c r="T548" s="492"/>
    </row>
    <row r="549" spans="1:20" s="166" customFormat="1" ht="30.75" customHeight="1">
      <c r="A549" s="528" t="s">
        <v>342</v>
      </c>
      <c r="B549" s="534"/>
      <c r="C549" s="254" t="s">
        <v>343</v>
      </c>
      <c r="D549" s="201" t="e">
        <f>D550+D572+D593+#REF!+D627</f>
        <v>#REF!</v>
      </c>
      <c r="E549" s="201" t="e">
        <f>E550+E572+E593+#REF!+E627+#REF!+E632</f>
        <v>#REF!</v>
      </c>
      <c r="F549" s="201" t="e">
        <f>F550+F572+F593+F627+#REF!+F632</f>
        <v>#REF!</v>
      </c>
      <c r="G549" s="201" t="e">
        <f>G550+G572+G593+G627+#REF!+G632</f>
        <v>#REF!</v>
      </c>
      <c r="H549" s="201" t="e">
        <f>H550+#REF!+H572+H593+H627+H632+H611</f>
        <v>#REF!</v>
      </c>
      <c r="I549" s="201" t="e">
        <f>I550+#REF!+I572+I593+I627+I632+I611</f>
        <v>#REF!</v>
      </c>
      <c r="J549" s="201" t="e">
        <f>J550+#REF!+J572+J593+J627+J632+J611</f>
        <v>#REF!</v>
      </c>
      <c r="K549" s="357">
        <f>K550+K572+K593+K627+K632+K611</f>
        <v>4423835</v>
      </c>
      <c r="L549" s="357">
        <f>L550+L572+L593+L627+L632+L611</f>
        <v>2797973</v>
      </c>
      <c r="M549" s="474">
        <f>L549/K549</f>
        <v>0.6324767989764537</v>
      </c>
      <c r="N549" s="357">
        <f aca="true" t="shared" si="110" ref="N549:T549">N550+N572+N593+N627+N632+N611</f>
        <v>2797973</v>
      </c>
      <c r="O549" s="357">
        <f t="shared" si="110"/>
        <v>1596158</v>
      </c>
      <c r="P549" s="357">
        <f t="shared" si="110"/>
        <v>293295</v>
      </c>
      <c r="Q549" s="357">
        <f t="shared" si="110"/>
        <v>1500</v>
      </c>
      <c r="R549" s="357">
        <f t="shared" si="110"/>
        <v>0</v>
      </c>
      <c r="S549" s="357">
        <f t="shared" si="110"/>
        <v>0</v>
      </c>
      <c r="T549" s="493">
        <f t="shared" si="110"/>
        <v>0</v>
      </c>
    </row>
    <row r="550" spans="1:20" s="167" customFormat="1" ht="29.25" customHeight="1">
      <c r="A550" s="508" t="s">
        <v>344</v>
      </c>
      <c r="B550" s="543"/>
      <c r="C550" s="327" t="s">
        <v>345</v>
      </c>
      <c r="D550" s="326">
        <f>D552+D553+D554+D570</f>
        <v>2045066</v>
      </c>
      <c r="E550" s="326" t="e">
        <f>E552+E553+E554+E555+E551+E556+E557+E558+#REF!+E561+E564+#REF!+E566+#REF!</f>
        <v>#REF!</v>
      </c>
      <c r="F550" s="326" t="e">
        <f>F552+F553+F554+F555+F551+F556+F557+F558+#REF!+F561+F564+#REF!+F566+#REF!</f>
        <v>#REF!</v>
      </c>
      <c r="G550" s="326" t="e">
        <f>G552+G553+G554+G555+G551+G556+G557+G558+#REF!+G561+G564+#REF!+G566+#REF!</f>
        <v>#REF!</v>
      </c>
      <c r="H550" s="326" t="e">
        <f>H552+H553+H554+H555+H556+H557+H558+#REF!+H561+H564+#REF!+H566+H570+#REF!</f>
        <v>#REF!</v>
      </c>
      <c r="I550" s="326" t="e">
        <f>I552+I553+I554+I555+I556+I557+I558+#REF!+I561+I564+#REF!+I566+I570+#REF!</f>
        <v>#REF!</v>
      </c>
      <c r="J550" s="326" t="e">
        <f>J552+J553+J554+J555+J556+J557+J558+#REF!+J561+J564+#REF!+J566+J570+#REF!</f>
        <v>#REF!</v>
      </c>
      <c r="K550" s="353">
        <f>SUM(K551:K571)</f>
        <v>1426962</v>
      </c>
      <c r="L550" s="353">
        <f>SUM(L551:L571)</f>
        <v>1103884</v>
      </c>
      <c r="M550" s="541">
        <f>L550/K550</f>
        <v>0.773590326862243</v>
      </c>
      <c r="N550" s="353">
        <f aca="true" t="shared" si="111" ref="N550:T550">SUM(N551:N571)</f>
        <v>1103884</v>
      </c>
      <c r="O550" s="353">
        <f t="shared" si="111"/>
        <v>734552</v>
      </c>
      <c r="P550" s="353">
        <f t="shared" si="111"/>
        <v>146115</v>
      </c>
      <c r="Q550" s="353">
        <f t="shared" si="111"/>
        <v>0</v>
      </c>
      <c r="R550" s="353">
        <f t="shared" si="111"/>
        <v>0</v>
      </c>
      <c r="S550" s="353">
        <f t="shared" si="111"/>
        <v>0</v>
      </c>
      <c r="T550" s="491">
        <f t="shared" si="111"/>
        <v>0</v>
      </c>
    </row>
    <row r="551" spans="1:20" s="167" customFormat="1" ht="18.75" customHeight="1">
      <c r="A551" s="510"/>
      <c r="B551" s="536" t="s">
        <v>910</v>
      </c>
      <c r="C551" s="129" t="s">
        <v>144</v>
      </c>
      <c r="D551" s="6"/>
      <c r="E551" s="6">
        <v>32821</v>
      </c>
      <c r="F551" s="6">
        <v>0</v>
      </c>
      <c r="G551" s="6">
        <v>0</v>
      </c>
      <c r="H551" s="5"/>
      <c r="I551" s="5"/>
      <c r="J551" s="5"/>
      <c r="K551" s="130">
        <v>1300</v>
      </c>
      <c r="L551" s="130">
        <v>4000</v>
      </c>
      <c r="M551" s="356">
        <f t="shared" si="107"/>
        <v>3.076923076923077</v>
      </c>
      <c r="N551" s="130">
        <f>L551</f>
        <v>4000</v>
      </c>
      <c r="O551" s="130">
        <v>0</v>
      </c>
      <c r="P551" s="354"/>
      <c r="Q551" s="355">
        <v>0</v>
      </c>
      <c r="R551" s="356"/>
      <c r="S551" s="356"/>
      <c r="T551" s="498"/>
    </row>
    <row r="552" spans="1:20" s="167" customFormat="1" ht="21" customHeight="1">
      <c r="A552" s="510"/>
      <c r="B552" s="533" t="s">
        <v>2</v>
      </c>
      <c r="C552" s="129" t="s">
        <v>3</v>
      </c>
      <c r="D552" s="6">
        <v>1270889</v>
      </c>
      <c r="E552" s="6">
        <v>1044649</v>
      </c>
      <c r="F552" s="6">
        <v>19143</v>
      </c>
      <c r="G552" s="6">
        <v>45000</v>
      </c>
      <c r="H552" s="6">
        <v>562350</v>
      </c>
      <c r="I552" s="6">
        <v>0</v>
      </c>
      <c r="J552" s="6">
        <v>0</v>
      </c>
      <c r="K552" s="130">
        <v>632517</v>
      </c>
      <c r="L552" s="130">
        <v>673398</v>
      </c>
      <c r="M552" s="356">
        <f t="shared" si="107"/>
        <v>1.0646322549433453</v>
      </c>
      <c r="N552" s="130">
        <f aca="true" t="shared" si="112" ref="N552:N569">L552</f>
        <v>673398</v>
      </c>
      <c r="O552" s="130">
        <f>N552</f>
        <v>673398</v>
      </c>
      <c r="P552" s="354"/>
      <c r="Q552" s="355">
        <v>0</v>
      </c>
      <c r="R552" s="356"/>
      <c r="S552" s="356"/>
      <c r="T552" s="498"/>
    </row>
    <row r="553" spans="1:20" s="167" customFormat="1" ht="18" customHeight="1">
      <c r="A553" s="510"/>
      <c r="B553" s="533" t="s">
        <v>6</v>
      </c>
      <c r="C553" s="129" t="s">
        <v>7</v>
      </c>
      <c r="D553" s="6">
        <v>95035</v>
      </c>
      <c r="E553" s="6">
        <v>92025</v>
      </c>
      <c r="F553" s="6">
        <v>0</v>
      </c>
      <c r="G553" s="6">
        <v>0</v>
      </c>
      <c r="H553" s="6">
        <v>46308</v>
      </c>
      <c r="I553" s="6">
        <v>0</v>
      </c>
      <c r="J553" s="6">
        <v>0</v>
      </c>
      <c r="K553" s="130">
        <v>42690</v>
      </c>
      <c r="L553" s="130">
        <v>61154</v>
      </c>
      <c r="M553" s="356">
        <f t="shared" si="107"/>
        <v>1.432513469196533</v>
      </c>
      <c r="N553" s="130">
        <f t="shared" si="112"/>
        <v>61154</v>
      </c>
      <c r="O553" s="130">
        <f>N553</f>
        <v>61154</v>
      </c>
      <c r="P553" s="354"/>
      <c r="Q553" s="355">
        <v>0</v>
      </c>
      <c r="R553" s="356"/>
      <c r="S553" s="356"/>
      <c r="T553" s="498"/>
    </row>
    <row r="554" spans="1:20" s="167" customFormat="1" ht="17.25" customHeight="1">
      <c r="A554" s="510"/>
      <c r="B554" s="536" t="s">
        <v>33</v>
      </c>
      <c r="C554" s="129" t="s">
        <v>70</v>
      </c>
      <c r="D554" s="6">
        <v>274033</v>
      </c>
      <c r="E554" s="6">
        <v>199495</v>
      </c>
      <c r="F554" s="6">
        <v>2349</v>
      </c>
      <c r="G554" s="6">
        <v>8046</v>
      </c>
      <c r="H554" s="6">
        <v>107000</v>
      </c>
      <c r="I554" s="6">
        <v>0</v>
      </c>
      <c r="J554" s="6">
        <v>0</v>
      </c>
      <c r="K554" s="130">
        <v>116600</v>
      </c>
      <c r="L554" s="130">
        <v>128141</v>
      </c>
      <c r="M554" s="356">
        <f t="shared" si="107"/>
        <v>1.0989794168096054</v>
      </c>
      <c r="N554" s="130">
        <f t="shared" si="112"/>
        <v>128141</v>
      </c>
      <c r="O554" s="130">
        <v>0</v>
      </c>
      <c r="P554" s="354">
        <f>N554</f>
        <v>128141</v>
      </c>
      <c r="Q554" s="355">
        <v>0</v>
      </c>
      <c r="R554" s="356"/>
      <c r="S554" s="356"/>
      <c r="T554" s="498"/>
    </row>
    <row r="555" spans="1:20" s="167" customFormat="1" ht="18.75" customHeight="1">
      <c r="A555" s="510"/>
      <c r="B555" s="536" t="s">
        <v>8</v>
      </c>
      <c r="C555" s="129" t="s">
        <v>9</v>
      </c>
      <c r="D555" s="6"/>
      <c r="E555" s="6">
        <v>27615</v>
      </c>
      <c r="F555" s="6">
        <v>321</v>
      </c>
      <c r="G555" s="6">
        <v>1102</v>
      </c>
      <c r="H555" s="6">
        <v>14660</v>
      </c>
      <c r="I555" s="6">
        <v>0</v>
      </c>
      <c r="J555" s="6">
        <v>0</v>
      </c>
      <c r="K555" s="130">
        <v>14000</v>
      </c>
      <c r="L555" s="130">
        <v>17974</v>
      </c>
      <c r="M555" s="356">
        <f t="shared" si="107"/>
        <v>1.2838571428571428</v>
      </c>
      <c r="N555" s="130">
        <f t="shared" si="112"/>
        <v>17974</v>
      </c>
      <c r="O555" s="130">
        <v>0</v>
      </c>
      <c r="P555" s="354">
        <f>N555</f>
        <v>17974</v>
      </c>
      <c r="Q555" s="355">
        <v>0</v>
      </c>
      <c r="R555" s="356"/>
      <c r="S555" s="356"/>
      <c r="T555" s="498"/>
    </row>
    <row r="556" spans="1:20" s="167" customFormat="1" ht="16.5" customHeight="1">
      <c r="A556" s="510"/>
      <c r="B556" s="536" t="s">
        <v>10</v>
      </c>
      <c r="C556" s="129" t="s">
        <v>141</v>
      </c>
      <c r="D556" s="6"/>
      <c r="E556" s="6">
        <v>123652</v>
      </c>
      <c r="F556" s="6">
        <v>12612</v>
      </c>
      <c r="G556" s="6">
        <v>0</v>
      </c>
      <c r="H556" s="6">
        <v>114868</v>
      </c>
      <c r="I556" s="6">
        <v>0</v>
      </c>
      <c r="J556" s="6">
        <v>0</v>
      </c>
      <c r="K556" s="130">
        <v>68887</v>
      </c>
      <c r="L556" s="130">
        <v>69196</v>
      </c>
      <c r="M556" s="356">
        <f t="shared" si="107"/>
        <v>1.004485606863414</v>
      </c>
      <c r="N556" s="130">
        <f t="shared" si="112"/>
        <v>69196</v>
      </c>
      <c r="O556" s="130">
        <v>0</v>
      </c>
      <c r="P556" s="354"/>
      <c r="Q556" s="355">
        <v>0</v>
      </c>
      <c r="R556" s="356"/>
      <c r="S556" s="356"/>
      <c r="T556" s="498"/>
    </row>
    <row r="557" spans="1:20" s="167" customFormat="1" ht="15.75" customHeight="1">
      <c r="A557" s="510"/>
      <c r="B557" s="536" t="s">
        <v>94</v>
      </c>
      <c r="C557" s="129" t="s">
        <v>283</v>
      </c>
      <c r="D557" s="6"/>
      <c r="E557" s="6">
        <v>145078</v>
      </c>
      <c r="F557" s="6">
        <v>0</v>
      </c>
      <c r="G557" s="6">
        <v>20000</v>
      </c>
      <c r="H557" s="6">
        <v>57000</v>
      </c>
      <c r="I557" s="6">
        <v>0</v>
      </c>
      <c r="J557" s="6">
        <v>0</v>
      </c>
      <c r="K557" s="130">
        <v>60000</v>
      </c>
      <c r="L557" s="130">
        <v>61140</v>
      </c>
      <c r="M557" s="356">
        <f t="shared" si="107"/>
        <v>1.019</v>
      </c>
      <c r="N557" s="130">
        <f t="shared" si="112"/>
        <v>61140</v>
      </c>
      <c r="O557" s="130">
        <v>0</v>
      </c>
      <c r="P557" s="354"/>
      <c r="Q557" s="355">
        <v>0</v>
      </c>
      <c r="R557" s="356"/>
      <c r="S557" s="356"/>
      <c r="T557" s="498"/>
    </row>
    <row r="558" spans="1:20" s="167" customFormat="1" ht="17.25" customHeight="1">
      <c r="A558" s="510"/>
      <c r="B558" s="536" t="s">
        <v>12</v>
      </c>
      <c r="C558" s="129" t="s">
        <v>97</v>
      </c>
      <c r="D558" s="6"/>
      <c r="E558" s="6">
        <v>21328</v>
      </c>
      <c r="F558" s="6">
        <v>3000</v>
      </c>
      <c r="G558" s="6">
        <v>0</v>
      </c>
      <c r="H558" s="6">
        <v>17200</v>
      </c>
      <c r="I558" s="6">
        <v>0</v>
      </c>
      <c r="J558" s="6">
        <v>0</v>
      </c>
      <c r="K558" s="130">
        <v>12000</v>
      </c>
      <c r="L558" s="130">
        <v>12228</v>
      </c>
      <c r="M558" s="356">
        <f t="shared" si="107"/>
        <v>1.019</v>
      </c>
      <c r="N558" s="130">
        <f t="shared" si="112"/>
        <v>12228</v>
      </c>
      <c r="O558" s="130">
        <v>0</v>
      </c>
      <c r="P558" s="354"/>
      <c r="Q558" s="355">
        <v>0</v>
      </c>
      <c r="R558" s="356"/>
      <c r="S558" s="356"/>
      <c r="T558" s="498"/>
    </row>
    <row r="559" spans="1:20" s="167" customFormat="1" ht="15.75" customHeight="1">
      <c r="A559" s="510"/>
      <c r="B559" s="536" t="s">
        <v>14</v>
      </c>
      <c r="C559" s="129" t="s">
        <v>98</v>
      </c>
      <c r="D559" s="6"/>
      <c r="E559" s="6"/>
      <c r="F559" s="6"/>
      <c r="G559" s="6"/>
      <c r="H559" s="6"/>
      <c r="I559" s="6"/>
      <c r="J559" s="6"/>
      <c r="K559" s="130">
        <v>36810</v>
      </c>
      <c r="L559" s="130">
        <v>0</v>
      </c>
      <c r="M559" s="356">
        <f t="shared" si="107"/>
        <v>0</v>
      </c>
      <c r="N559" s="130">
        <f t="shared" si="112"/>
        <v>0</v>
      </c>
      <c r="O559" s="130">
        <v>0</v>
      </c>
      <c r="P559" s="354"/>
      <c r="Q559" s="355">
        <v>0</v>
      </c>
      <c r="R559" s="356"/>
      <c r="S559" s="356"/>
      <c r="T559" s="498"/>
    </row>
    <row r="560" spans="1:20" s="167" customFormat="1" ht="15.75" customHeight="1">
      <c r="A560" s="510"/>
      <c r="B560" s="536" t="s">
        <v>76</v>
      </c>
      <c r="C560" s="129" t="s">
        <v>77</v>
      </c>
      <c r="D560" s="6"/>
      <c r="E560" s="6"/>
      <c r="F560" s="6"/>
      <c r="G560" s="6"/>
      <c r="H560" s="6"/>
      <c r="I560" s="6"/>
      <c r="J560" s="6"/>
      <c r="K560" s="130">
        <v>2100</v>
      </c>
      <c r="L560" s="130">
        <v>3500</v>
      </c>
      <c r="M560" s="356">
        <f t="shared" si="107"/>
        <v>1.6666666666666667</v>
      </c>
      <c r="N560" s="130">
        <f t="shared" si="112"/>
        <v>3500</v>
      </c>
      <c r="O560" s="130">
        <v>0</v>
      </c>
      <c r="P560" s="354"/>
      <c r="Q560" s="355"/>
      <c r="R560" s="356"/>
      <c r="S560" s="356"/>
      <c r="T560" s="498"/>
    </row>
    <row r="561" spans="1:20" s="167" customFormat="1" ht="15" customHeight="1">
      <c r="A561" s="510"/>
      <c r="B561" s="536" t="s">
        <v>16</v>
      </c>
      <c r="C561" s="129" t="s">
        <v>99</v>
      </c>
      <c r="D561" s="6"/>
      <c r="E561" s="6">
        <v>22737</v>
      </c>
      <c r="F561" s="6">
        <v>4000</v>
      </c>
      <c r="G561" s="6">
        <v>0</v>
      </c>
      <c r="H561" s="6">
        <v>27250</v>
      </c>
      <c r="I561" s="6">
        <v>0</v>
      </c>
      <c r="J561" s="6">
        <v>0</v>
      </c>
      <c r="K561" s="130">
        <v>26390</v>
      </c>
      <c r="L561" s="130">
        <v>26891</v>
      </c>
      <c r="M561" s="356">
        <f t="shared" si="107"/>
        <v>1.01898446381205</v>
      </c>
      <c r="N561" s="130">
        <f t="shared" si="112"/>
        <v>26891</v>
      </c>
      <c r="O561" s="130">
        <v>0</v>
      </c>
      <c r="P561" s="354"/>
      <c r="Q561" s="355">
        <v>0</v>
      </c>
      <c r="R561" s="356"/>
      <c r="S561" s="356"/>
      <c r="T561" s="498"/>
    </row>
    <row r="562" spans="1:20" s="167" customFormat="1" ht="15" customHeight="1">
      <c r="A562" s="510"/>
      <c r="B562" s="536" t="s">
        <v>737</v>
      </c>
      <c r="C562" s="130" t="s">
        <v>738</v>
      </c>
      <c r="D562" s="6"/>
      <c r="E562" s="6"/>
      <c r="F562" s="6"/>
      <c r="G562" s="6"/>
      <c r="H562" s="6"/>
      <c r="I562" s="6"/>
      <c r="J562" s="6"/>
      <c r="K562" s="130">
        <v>700</v>
      </c>
      <c r="L562" s="130">
        <v>713</v>
      </c>
      <c r="M562" s="356">
        <f t="shared" si="107"/>
        <v>1.0185714285714285</v>
      </c>
      <c r="N562" s="130">
        <f t="shared" si="112"/>
        <v>713</v>
      </c>
      <c r="O562" s="130">
        <v>0</v>
      </c>
      <c r="P562" s="354"/>
      <c r="Q562" s="355"/>
      <c r="R562" s="356"/>
      <c r="S562" s="356"/>
      <c r="T562" s="498"/>
    </row>
    <row r="563" spans="1:20" s="167" customFormat="1" ht="15" customHeight="1">
      <c r="A563" s="510"/>
      <c r="B563" s="536" t="s">
        <v>316</v>
      </c>
      <c r="C563" s="129" t="s">
        <v>320</v>
      </c>
      <c r="D563" s="6"/>
      <c r="E563" s="6"/>
      <c r="F563" s="6"/>
      <c r="G563" s="6"/>
      <c r="H563" s="6"/>
      <c r="I563" s="6"/>
      <c r="J563" s="6"/>
      <c r="K563" s="130">
        <v>3000</v>
      </c>
      <c r="L563" s="130">
        <v>2000</v>
      </c>
      <c r="M563" s="356">
        <f t="shared" si="107"/>
        <v>0.6666666666666666</v>
      </c>
      <c r="N563" s="130">
        <f t="shared" si="112"/>
        <v>2000</v>
      </c>
      <c r="O563" s="130">
        <v>0</v>
      </c>
      <c r="P563" s="354"/>
      <c r="Q563" s="355"/>
      <c r="R563" s="356"/>
      <c r="S563" s="356"/>
      <c r="T563" s="498"/>
    </row>
    <row r="564" spans="1:20" s="167" customFormat="1" ht="17.25" customHeight="1">
      <c r="A564" s="510"/>
      <c r="B564" s="536" t="s">
        <v>18</v>
      </c>
      <c r="C564" s="129" t="s">
        <v>19</v>
      </c>
      <c r="D564" s="6"/>
      <c r="E564" s="6">
        <v>2384</v>
      </c>
      <c r="F564" s="6">
        <v>0</v>
      </c>
      <c r="G564" s="6">
        <v>800</v>
      </c>
      <c r="H564" s="6">
        <v>300</v>
      </c>
      <c r="I564" s="6">
        <v>0</v>
      </c>
      <c r="J564" s="6">
        <v>0</v>
      </c>
      <c r="K564" s="130">
        <v>3000</v>
      </c>
      <c r="L564" s="130">
        <v>3057</v>
      </c>
      <c r="M564" s="356">
        <f t="shared" si="107"/>
        <v>1.019</v>
      </c>
      <c r="N564" s="130">
        <f t="shared" si="112"/>
        <v>3057</v>
      </c>
      <c r="O564" s="130">
        <v>0</v>
      </c>
      <c r="P564" s="354"/>
      <c r="Q564" s="355">
        <v>0</v>
      </c>
      <c r="R564" s="356"/>
      <c r="S564" s="356"/>
      <c r="T564" s="498"/>
    </row>
    <row r="565" spans="1:20" s="167" customFormat="1" ht="15" customHeight="1">
      <c r="A565" s="510"/>
      <c r="B565" s="536" t="s">
        <v>20</v>
      </c>
      <c r="C565" s="129" t="s">
        <v>21</v>
      </c>
      <c r="D565" s="6"/>
      <c r="E565" s="6"/>
      <c r="F565" s="6"/>
      <c r="G565" s="6"/>
      <c r="H565" s="6"/>
      <c r="I565" s="6"/>
      <c r="J565" s="6"/>
      <c r="K565" s="130">
        <v>0</v>
      </c>
      <c r="L565" s="130">
        <v>0</v>
      </c>
      <c r="M565" s="356">
        <v>0</v>
      </c>
      <c r="N565" s="130">
        <f t="shared" si="112"/>
        <v>0</v>
      </c>
      <c r="O565" s="130">
        <v>0</v>
      </c>
      <c r="P565" s="354"/>
      <c r="Q565" s="355">
        <v>0</v>
      </c>
      <c r="R565" s="356"/>
      <c r="S565" s="356"/>
      <c r="T565" s="498"/>
    </row>
    <row r="566" spans="1:20" s="167" customFormat="1" ht="17.25" customHeight="1">
      <c r="A566" s="510"/>
      <c r="B566" s="536" t="s">
        <v>22</v>
      </c>
      <c r="C566" s="129" t="s">
        <v>23</v>
      </c>
      <c r="D566" s="6"/>
      <c r="E566" s="6">
        <v>79227</v>
      </c>
      <c r="F566" s="6">
        <v>0</v>
      </c>
      <c r="G566" s="6">
        <v>0</v>
      </c>
      <c r="H566" s="6">
        <v>31503</v>
      </c>
      <c r="I566" s="6">
        <v>0</v>
      </c>
      <c r="J566" s="6">
        <v>0</v>
      </c>
      <c r="K566" s="130">
        <v>35318</v>
      </c>
      <c r="L566" s="130">
        <v>36492</v>
      </c>
      <c r="M566" s="356">
        <f t="shared" si="107"/>
        <v>1.0332408403646867</v>
      </c>
      <c r="N566" s="130">
        <f t="shared" si="112"/>
        <v>36492</v>
      </c>
      <c r="O566" s="130">
        <v>0</v>
      </c>
      <c r="P566" s="354"/>
      <c r="Q566" s="355">
        <v>0</v>
      </c>
      <c r="R566" s="356"/>
      <c r="S566" s="356"/>
      <c r="T566" s="498"/>
    </row>
    <row r="567" spans="1:20" s="167" customFormat="1" ht="18" customHeight="1">
      <c r="A567" s="510"/>
      <c r="B567" s="536" t="s">
        <v>38</v>
      </c>
      <c r="C567" s="129" t="s">
        <v>39</v>
      </c>
      <c r="D567" s="6"/>
      <c r="E567" s="6"/>
      <c r="F567" s="6"/>
      <c r="G567" s="6"/>
      <c r="H567" s="6"/>
      <c r="I567" s="6"/>
      <c r="J567" s="6"/>
      <c r="K567" s="130">
        <v>358</v>
      </c>
      <c r="L567" s="130">
        <v>1000</v>
      </c>
      <c r="M567" s="356">
        <f t="shared" si="107"/>
        <v>2.793296089385475</v>
      </c>
      <c r="N567" s="130">
        <f t="shared" si="112"/>
        <v>1000</v>
      </c>
      <c r="O567" s="130">
        <v>0</v>
      </c>
      <c r="P567" s="354"/>
      <c r="Q567" s="355"/>
      <c r="R567" s="356"/>
      <c r="S567" s="356"/>
      <c r="T567" s="498"/>
    </row>
    <row r="568" spans="1:20" s="167" customFormat="1" ht="20.25" customHeight="1">
      <c r="A568" s="510"/>
      <c r="B568" s="536" t="s">
        <v>317</v>
      </c>
      <c r="C568" s="129" t="s">
        <v>321</v>
      </c>
      <c r="D568" s="6"/>
      <c r="E568" s="6"/>
      <c r="F568" s="6"/>
      <c r="G568" s="6"/>
      <c r="H568" s="6"/>
      <c r="I568" s="6"/>
      <c r="J568" s="6"/>
      <c r="K568" s="130">
        <v>2294</v>
      </c>
      <c r="L568" s="130">
        <v>2000</v>
      </c>
      <c r="M568" s="356">
        <f t="shared" si="107"/>
        <v>0.8718395815170009</v>
      </c>
      <c r="N568" s="130">
        <f t="shared" si="112"/>
        <v>2000</v>
      </c>
      <c r="O568" s="130">
        <v>0</v>
      </c>
      <c r="P568" s="354"/>
      <c r="Q568" s="355"/>
      <c r="R568" s="356"/>
      <c r="S568" s="356"/>
      <c r="T568" s="498"/>
    </row>
    <row r="569" spans="1:20" s="167" customFormat="1" ht="15.75" customHeight="1">
      <c r="A569" s="510"/>
      <c r="B569" s="536" t="s">
        <v>318</v>
      </c>
      <c r="C569" s="129" t="s">
        <v>322</v>
      </c>
      <c r="D569" s="6"/>
      <c r="E569" s="6"/>
      <c r="F569" s="6"/>
      <c r="G569" s="6"/>
      <c r="H569" s="6"/>
      <c r="I569" s="6"/>
      <c r="J569" s="6"/>
      <c r="K569" s="130">
        <v>1800</v>
      </c>
      <c r="L569" s="130">
        <v>1000</v>
      </c>
      <c r="M569" s="356">
        <f t="shared" si="107"/>
        <v>0.5555555555555556</v>
      </c>
      <c r="N569" s="130">
        <f t="shared" si="112"/>
        <v>1000</v>
      </c>
      <c r="O569" s="130">
        <v>0</v>
      </c>
      <c r="P569" s="354"/>
      <c r="Q569" s="355"/>
      <c r="R569" s="356"/>
      <c r="S569" s="356"/>
      <c r="T569" s="498"/>
    </row>
    <row r="570" spans="1:20" s="167" customFormat="1" ht="15.75" customHeight="1">
      <c r="A570" s="510"/>
      <c r="B570" s="533" t="s">
        <v>40</v>
      </c>
      <c r="C570" s="129" t="s">
        <v>346</v>
      </c>
      <c r="D570" s="6">
        <v>405109</v>
      </c>
      <c r="E570" s="6"/>
      <c r="F570" s="6"/>
      <c r="G570" s="6"/>
      <c r="H570" s="6">
        <v>0</v>
      </c>
      <c r="I570" s="6">
        <v>0</v>
      </c>
      <c r="J570" s="6">
        <v>0</v>
      </c>
      <c r="K570" s="130">
        <v>367198</v>
      </c>
      <c r="L570" s="130">
        <v>0</v>
      </c>
      <c r="M570" s="356">
        <f t="shared" si="107"/>
        <v>0</v>
      </c>
      <c r="N570" s="130"/>
      <c r="O570" s="130">
        <v>0</v>
      </c>
      <c r="P570" s="354"/>
      <c r="Q570" s="355">
        <v>0</v>
      </c>
      <c r="R570" s="356"/>
      <c r="S570" s="356"/>
      <c r="T570" s="498">
        <f>L570</f>
        <v>0</v>
      </c>
    </row>
    <row r="571" spans="1:20" s="167" customFormat="1" ht="18" customHeight="1">
      <c r="A571" s="510"/>
      <c r="B571" s="533" t="s">
        <v>42</v>
      </c>
      <c r="C571" s="129" t="s">
        <v>857</v>
      </c>
      <c r="D571" s="6"/>
      <c r="E571" s="6"/>
      <c r="F571" s="6"/>
      <c r="G571" s="6"/>
      <c r="H571" s="6"/>
      <c r="I571" s="6"/>
      <c r="J571" s="6"/>
      <c r="K571" s="130">
        <v>0</v>
      </c>
      <c r="L571" s="130">
        <v>0</v>
      </c>
      <c r="M571" s="356">
        <v>0</v>
      </c>
      <c r="N571" s="130"/>
      <c r="O571" s="130">
        <v>0</v>
      </c>
      <c r="P571" s="354"/>
      <c r="Q571" s="355">
        <v>0</v>
      </c>
      <c r="R571" s="356"/>
      <c r="S571" s="356"/>
      <c r="T571" s="498">
        <f>L571</f>
        <v>0</v>
      </c>
    </row>
    <row r="572" spans="1:20" s="167" customFormat="1" ht="25.5" customHeight="1">
      <c r="A572" s="508" t="s">
        <v>348</v>
      </c>
      <c r="B572" s="543"/>
      <c r="C572" s="331" t="s">
        <v>349</v>
      </c>
      <c r="D572" s="326" t="e">
        <f>D574+D575+D576+#REF!</f>
        <v>#REF!</v>
      </c>
      <c r="E572" s="326" t="e">
        <f>E574+E575+E576+E577+E573+E579+E580+E581+#REF!+E584+E587+#REF!+E588</f>
        <v>#REF!</v>
      </c>
      <c r="F572" s="326" t="e">
        <f>F574+F575+F576+F577+F573+F579+F580+F581+#REF!+F584+F587+#REF!+F588</f>
        <v>#REF!</v>
      </c>
      <c r="G572" s="326" t="e">
        <f>G574+G575+G576+G577+G573+G579+G580+G581+#REF!+G584+G587+#REF!+G588</f>
        <v>#REF!</v>
      </c>
      <c r="H572" s="326" t="e">
        <f>H574+H575+H576+H577+H573+H579+H580+H581+H584+H587+#REF!+H588+H589</f>
        <v>#REF!</v>
      </c>
      <c r="I572" s="326" t="e">
        <f>I574+I575+I576+I577+I573+I579+I580+I581+I584+I587+#REF!+I588+I589</f>
        <v>#REF!</v>
      </c>
      <c r="J572" s="326" t="e">
        <f>J574+J575+J576+J577+J573+J579+J580+J581+J584+J587+#REF!+J588+J589</f>
        <v>#REF!</v>
      </c>
      <c r="K572" s="353">
        <f>SUM(K573:K592)</f>
        <v>422602</v>
      </c>
      <c r="L572" s="353">
        <f>SUM(L573:L592)</f>
        <v>406693</v>
      </c>
      <c r="M572" s="541">
        <f>L572/K572</f>
        <v>0.962354650474915</v>
      </c>
      <c r="N572" s="353">
        <f aca="true" t="shared" si="113" ref="N572:T572">SUM(N573:N592)</f>
        <v>406693</v>
      </c>
      <c r="O572" s="353">
        <f t="shared" si="113"/>
        <v>295025</v>
      </c>
      <c r="P572" s="353">
        <f t="shared" si="113"/>
        <v>56823</v>
      </c>
      <c r="Q572" s="353">
        <f t="shared" si="113"/>
        <v>0</v>
      </c>
      <c r="R572" s="353">
        <f t="shared" si="113"/>
        <v>0</v>
      </c>
      <c r="S572" s="353">
        <f t="shared" si="113"/>
        <v>0</v>
      </c>
      <c r="T572" s="491">
        <f t="shared" si="113"/>
        <v>0</v>
      </c>
    </row>
    <row r="573" spans="1:20" s="167" customFormat="1" ht="17.25" customHeight="1">
      <c r="A573" s="510"/>
      <c r="B573" s="536" t="s">
        <v>910</v>
      </c>
      <c r="C573" s="129" t="s">
        <v>144</v>
      </c>
      <c r="D573" s="6"/>
      <c r="E573" s="6">
        <v>4293</v>
      </c>
      <c r="F573" s="6">
        <v>0</v>
      </c>
      <c r="G573" s="6">
        <v>0</v>
      </c>
      <c r="H573" s="6">
        <v>3580</v>
      </c>
      <c r="I573" s="6">
        <v>0</v>
      </c>
      <c r="J573" s="6">
        <v>0</v>
      </c>
      <c r="K573" s="130">
        <v>220</v>
      </c>
      <c r="L573" s="130">
        <v>0</v>
      </c>
      <c r="M573" s="356">
        <f t="shared" si="107"/>
        <v>0</v>
      </c>
      <c r="N573" s="130">
        <f>L573</f>
        <v>0</v>
      </c>
      <c r="O573" s="130">
        <v>0</v>
      </c>
      <c r="P573" s="354"/>
      <c r="Q573" s="355">
        <v>0</v>
      </c>
      <c r="R573" s="356"/>
      <c r="S573" s="356"/>
      <c r="T573" s="492"/>
    </row>
    <row r="574" spans="1:20" s="167" customFormat="1" ht="15" customHeight="1">
      <c r="A574" s="510"/>
      <c r="B574" s="533" t="s">
        <v>2</v>
      </c>
      <c r="C574" s="129" t="s">
        <v>858</v>
      </c>
      <c r="D574" s="6">
        <v>338872</v>
      </c>
      <c r="E574" s="6">
        <v>347249</v>
      </c>
      <c r="F574" s="6">
        <v>4011</v>
      </c>
      <c r="G574" s="6">
        <v>5633</v>
      </c>
      <c r="H574" s="14">
        <v>240145</v>
      </c>
      <c r="I574" s="14">
        <v>0</v>
      </c>
      <c r="J574" s="14">
        <v>0</v>
      </c>
      <c r="K574" s="130">
        <v>284487</v>
      </c>
      <c r="L574" s="130">
        <v>270055</v>
      </c>
      <c r="M574" s="356">
        <f t="shared" si="107"/>
        <v>0.9492700896701782</v>
      </c>
      <c r="N574" s="130">
        <f aca="true" t="shared" si="114" ref="N574:N592">L574</f>
        <v>270055</v>
      </c>
      <c r="O574" s="130">
        <f>N574</f>
        <v>270055</v>
      </c>
      <c r="P574" s="354"/>
      <c r="Q574" s="355">
        <v>0</v>
      </c>
      <c r="R574" s="356"/>
      <c r="S574" s="356"/>
      <c r="T574" s="492"/>
    </row>
    <row r="575" spans="1:20" s="167" customFormat="1" ht="16.5" customHeight="1">
      <c r="A575" s="510"/>
      <c r="B575" s="533" t="s">
        <v>6</v>
      </c>
      <c r="C575" s="129" t="s">
        <v>7</v>
      </c>
      <c r="D575" s="6">
        <v>22404</v>
      </c>
      <c r="E575" s="6">
        <v>26837</v>
      </c>
      <c r="F575" s="6">
        <v>0</v>
      </c>
      <c r="G575" s="6">
        <v>0</v>
      </c>
      <c r="H575" s="6">
        <v>17713</v>
      </c>
      <c r="I575" s="6">
        <v>0</v>
      </c>
      <c r="J575" s="6">
        <v>0</v>
      </c>
      <c r="K575" s="130">
        <v>21997</v>
      </c>
      <c r="L575" s="130">
        <v>23970</v>
      </c>
      <c r="M575" s="356">
        <f t="shared" si="107"/>
        <v>1.0896940491885256</v>
      </c>
      <c r="N575" s="130">
        <f t="shared" si="114"/>
        <v>23970</v>
      </c>
      <c r="O575" s="130">
        <f>N575</f>
        <v>23970</v>
      </c>
      <c r="P575" s="354"/>
      <c r="Q575" s="355">
        <v>0</v>
      </c>
      <c r="R575" s="356"/>
      <c r="S575" s="356"/>
      <c r="T575" s="492"/>
    </row>
    <row r="576" spans="1:20" s="167" customFormat="1" ht="15" customHeight="1">
      <c r="A576" s="510"/>
      <c r="B576" s="536" t="s">
        <v>56</v>
      </c>
      <c r="C576" s="129" t="s">
        <v>70</v>
      </c>
      <c r="D576" s="6">
        <v>73812</v>
      </c>
      <c r="E576" s="6">
        <v>65930</v>
      </c>
      <c r="F576" s="6">
        <v>360</v>
      </c>
      <c r="G576" s="6">
        <v>1005</v>
      </c>
      <c r="H576" s="6">
        <v>45324</v>
      </c>
      <c r="I576" s="6">
        <v>0</v>
      </c>
      <c r="J576" s="6">
        <v>0</v>
      </c>
      <c r="K576" s="130">
        <v>52867</v>
      </c>
      <c r="L576" s="130">
        <v>49823</v>
      </c>
      <c r="M576" s="356">
        <f t="shared" si="107"/>
        <v>0.9424215484139444</v>
      </c>
      <c r="N576" s="130">
        <f t="shared" si="114"/>
        <v>49823</v>
      </c>
      <c r="O576" s="130">
        <v>0</v>
      </c>
      <c r="P576" s="354">
        <f>N576</f>
        <v>49823</v>
      </c>
      <c r="Q576" s="355">
        <v>0</v>
      </c>
      <c r="R576" s="356"/>
      <c r="S576" s="356"/>
      <c r="T576" s="492"/>
    </row>
    <row r="577" spans="1:20" s="167" customFormat="1" ht="14.25" customHeight="1">
      <c r="A577" s="510"/>
      <c r="B577" s="536" t="s">
        <v>8</v>
      </c>
      <c r="C577" s="129" t="s">
        <v>9</v>
      </c>
      <c r="D577" s="6"/>
      <c r="E577" s="6">
        <v>9068</v>
      </c>
      <c r="F577" s="6">
        <v>49</v>
      </c>
      <c r="G577" s="6">
        <v>138</v>
      </c>
      <c r="H577" s="6">
        <v>6263</v>
      </c>
      <c r="I577" s="6">
        <v>0</v>
      </c>
      <c r="J577" s="6">
        <v>0</v>
      </c>
      <c r="K577" s="130">
        <v>7651</v>
      </c>
      <c r="L577" s="130">
        <v>7000</v>
      </c>
      <c r="M577" s="356">
        <f t="shared" si="107"/>
        <v>0.9149130832570905</v>
      </c>
      <c r="N577" s="130">
        <f t="shared" si="114"/>
        <v>7000</v>
      </c>
      <c r="O577" s="130">
        <v>0</v>
      </c>
      <c r="P577" s="354">
        <f>N577</f>
        <v>7000</v>
      </c>
      <c r="Q577" s="355">
        <v>0</v>
      </c>
      <c r="R577" s="356"/>
      <c r="S577" s="356"/>
      <c r="T577" s="492"/>
    </row>
    <row r="578" spans="1:20" s="167" customFormat="1" ht="14.25" customHeight="1">
      <c r="A578" s="510"/>
      <c r="B578" s="536" t="s">
        <v>735</v>
      </c>
      <c r="C578" s="129" t="s">
        <v>736</v>
      </c>
      <c r="D578" s="6"/>
      <c r="E578" s="6"/>
      <c r="F578" s="6"/>
      <c r="G578" s="6"/>
      <c r="H578" s="6"/>
      <c r="I578" s="6"/>
      <c r="J578" s="6"/>
      <c r="K578" s="130">
        <v>1000</v>
      </c>
      <c r="L578" s="130">
        <v>1000</v>
      </c>
      <c r="M578" s="356">
        <f t="shared" si="107"/>
        <v>1</v>
      </c>
      <c r="N578" s="130">
        <f t="shared" si="114"/>
        <v>1000</v>
      </c>
      <c r="O578" s="130">
        <f>N578</f>
        <v>1000</v>
      </c>
      <c r="P578" s="354"/>
      <c r="Q578" s="355">
        <v>0</v>
      </c>
      <c r="R578" s="356"/>
      <c r="S578" s="356"/>
      <c r="T578" s="492"/>
    </row>
    <row r="579" spans="1:20" s="167" customFormat="1" ht="15.75" customHeight="1">
      <c r="A579" s="510"/>
      <c r="B579" s="536" t="s">
        <v>10</v>
      </c>
      <c r="C579" s="129" t="s">
        <v>141</v>
      </c>
      <c r="D579" s="6"/>
      <c r="E579" s="6">
        <v>17339</v>
      </c>
      <c r="F579" s="6">
        <v>5526</v>
      </c>
      <c r="G579" s="6">
        <v>0</v>
      </c>
      <c r="H579" s="6">
        <v>25571</v>
      </c>
      <c r="I579" s="6">
        <v>0</v>
      </c>
      <c r="J579" s="6">
        <v>0</v>
      </c>
      <c r="K579" s="130">
        <v>13010</v>
      </c>
      <c r="L579" s="130">
        <v>13257</v>
      </c>
      <c r="M579" s="356">
        <f t="shared" si="107"/>
        <v>1.0189853958493467</v>
      </c>
      <c r="N579" s="130">
        <f t="shared" si="114"/>
        <v>13257</v>
      </c>
      <c r="O579" s="130">
        <v>0</v>
      </c>
      <c r="P579" s="354"/>
      <c r="Q579" s="355">
        <v>0</v>
      </c>
      <c r="R579" s="356"/>
      <c r="S579" s="356"/>
      <c r="T579" s="492"/>
    </row>
    <row r="580" spans="1:20" s="167" customFormat="1" ht="15" customHeight="1">
      <c r="A580" s="510"/>
      <c r="B580" s="536" t="s">
        <v>133</v>
      </c>
      <c r="C580" s="129" t="s">
        <v>284</v>
      </c>
      <c r="D580" s="6"/>
      <c r="E580" s="6">
        <v>4149</v>
      </c>
      <c r="F580" s="6">
        <v>0</v>
      </c>
      <c r="G580" s="6">
        <v>0</v>
      </c>
      <c r="H580" s="6">
        <v>1500</v>
      </c>
      <c r="I580" s="6">
        <v>0</v>
      </c>
      <c r="J580" s="6">
        <v>0</v>
      </c>
      <c r="K580" s="130">
        <v>2000</v>
      </c>
      <c r="L580" s="130">
        <v>2000</v>
      </c>
      <c r="M580" s="356">
        <f t="shared" si="107"/>
        <v>1</v>
      </c>
      <c r="N580" s="130">
        <f t="shared" si="114"/>
        <v>2000</v>
      </c>
      <c r="O580" s="130">
        <v>0</v>
      </c>
      <c r="P580" s="354"/>
      <c r="Q580" s="355">
        <v>0</v>
      </c>
      <c r="R580" s="356"/>
      <c r="S580" s="356"/>
      <c r="T580" s="492"/>
    </row>
    <row r="581" spans="1:20" s="167" customFormat="1" ht="15.75" customHeight="1">
      <c r="A581" s="510"/>
      <c r="B581" s="536" t="s">
        <v>12</v>
      </c>
      <c r="C581" s="129" t="s">
        <v>97</v>
      </c>
      <c r="D581" s="6"/>
      <c r="E581" s="6">
        <v>4365</v>
      </c>
      <c r="F581" s="6">
        <v>350</v>
      </c>
      <c r="G581" s="6">
        <v>0</v>
      </c>
      <c r="H581" s="6">
        <v>3966</v>
      </c>
      <c r="I581" s="6">
        <v>0</v>
      </c>
      <c r="J581" s="6">
        <v>0</v>
      </c>
      <c r="K581" s="130">
        <v>4600</v>
      </c>
      <c r="L581" s="130">
        <v>9534</v>
      </c>
      <c r="M581" s="356">
        <f t="shared" si="107"/>
        <v>2.072608695652174</v>
      </c>
      <c r="N581" s="130">
        <f t="shared" si="114"/>
        <v>9534</v>
      </c>
      <c r="O581" s="130">
        <v>0</v>
      </c>
      <c r="P581" s="354"/>
      <c r="Q581" s="355">
        <v>0</v>
      </c>
      <c r="R581" s="356"/>
      <c r="S581" s="356"/>
      <c r="T581" s="492"/>
    </row>
    <row r="582" spans="1:20" s="167" customFormat="1" ht="15.75" customHeight="1">
      <c r="A582" s="510"/>
      <c r="B582" s="536" t="s">
        <v>14</v>
      </c>
      <c r="C582" s="129" t="s">
        <v>98</v>
      </c>
      <c r="D582" s="6"/>
      <c r="E582" s="6"/>
      <c r="F582" s="6"/>
      <c r="G582" s="6"/>
      <c r="H582" s="6"/>
      <c r="I582" s="6"/>
      <c r="J582" s="6"/>
      <c r="K582" s="130">
        <v>300</v>
      </c>
      <c r="L582" s="130">
        <v>250</v>
      </c>
      <c r="M582" s="356">
        <f t="shared" si="107"/>
        <v>0.8333333333333334</v>
      </c>
      <c r="N582" s="130">
        <f t="shared" si="114"/>
        <v>250</v>
      </c>
      <c r="O582" s="130">
        <v>0</v>
      </c>
      <c r="P582" s="354"/>
      <c r="Q582" s="355"/>
      <c r="R582" s="356"/>
      <c r="S582" s="356"/>
      <c r="T582" s="492"/>
    </row>
    <row r="583" spans="1:20" s="167" customFormat="1" ht="15.75" customHeight="1">
      <c r="A583" s="510"/>
      <c r="B583" s="536" t="s">
        <v>76</v>
      </c>
      <c r="C583" s="129" t="s">
        <v>77</v>
      </c>
      <c r="D583" s="6"/>
      <c r="E583" s="6"/>
      <c r="F583" s="6"/>
      <c r="G583" s="6"/>
      <c r="H583" s="6"/>
      <c r="I583" s="6"/>
      <c r="J583" s="6"/>
      <c r="K583" s="130">
        <v>700</v>
      </c>
      <c r="L583" s="130">
        <v>700</v>
      </c>
      <c r="M583" s="356">
        <f t="shared" si="107"/>
        <v>1</v>
      </c>
      <c r="N583" s="130">
        <f t="shared" si="114"/>
        <v>700</v>
      </c>
      <c r="O583" s="130">
        <v>0</v>
      </c>
      <c r="P583" s="354"/>
      <c r="Q583" s="355"/>
      <c r="R583" s="356"/>
      <c r="S583" s="356"/>
      <c r="T583" s="492"/>
    </row>
    <row r="584" spans="1:20" s="167" customFormat="1" ht="15" customHeight="1">
      <c r="A584" s="510"/>
      <c r="B584" s="536" t="s">
        <v>16</v>
      </c>
      <c r="C584" s="129" t="s">
        <v>99</v>
      </c>
      <c r="D584" s="6"/>
      <c r="E584" s="6">
        <v>6136</v>
      </c>
      <c r="F584" s="6">
        <v>800</v>
      </c>
      <c r="G584" s="6">
        <v>0</v>
      </c>
      <c r="H584" s="6">
        <v>6503</v>
      </c>
      <c r="I584" s="6">
        <v>0</v>
      </c>
      <c r="J584" s="6">
        <v>0</v>
      </c>
      <c r="K584" s="130">
        <v>8257</v>
      </c>
      <c r="L584" s="130">
        <v>3140</v>
      </c>
      <c r="M584" s="356">
        <f t="shared" si="107"/>
        <v>0.38028339590650356</v>
      </c>
      <c r="N584" s="130">
        <f t="shared" si="114"/>
        <v>3140</v>
      </c>
      <c r="O584" s="130">
        <v>0</v>
      </c>
      <c r="P584" s="354"/>
      <c r="Q584" s="355">
        <v>0</v>
      </c>
      <c r="R584" s="356"/>
      <c r="S584" s="356"/>
      <c r="T584" s="492"/>
    </row>
    <row r="585" spans="1:20" s="167" customFormat="1" ht="15" customHeight="1">
      <c r="A585" s="510"/>
      <c r="B585" s="536" t="s">
        <v>737</v>
      </c>
      <c r="C585" s="129" t="s">
        <v>533</v>
      </c>
      <c r="D585" s="6"/>
      <c r="E585" s="6"/>
      <c r="F585" s="6"/>
      <c r="G585" s="6"/>
      <c r="H585" s="6"/>
      <c r="I585" s="6"/>
      <c r="J585" s="6"/>
      <c r="K585" s="130">
        <v>1130</v>
      </c>
      <c r="L585" s="130">
        <v>1440</v>
      </c>
      <c r="M585" s="356">
        <f t="shared" si="107"/>
        <v>1.2743362831858407</v>
      </c>
      <c r="N585" s="130">
        <f t="shared" si="114"/>
        <v>1440</v>
      </c>
      <c r="O585" s="130">
        <v>0</v>
      </c>
      <c r="P585" s="354"/>
      <c r="Q585" s="355">
        <v>0</v>
      </c>
      <c r="R585" s="356"/>
      <c r="S585" s="356"/>
      <c r="T585" s="492"/>
    </row>
    <row r="586" spans="1:20" s="167" customFormat="1" ht="15" customHeight="1">
      <c r="A586" s="510"/>
      <c r="B586" s="536" t="s">
        <v>316</v>
      </c>
      <c r="C586" s="129" t="s">
        <v>320</v>
      </c>
      <c r="D586" s="6"/>
      <c r="E586" s="6"/>
      <c r="F586" s="6"/>
      <c r="G586" s="6"/>
      <c r="H586" s="6"/>
      <c r="I586" s="6"/>
      <c r="J586" s="6"/>
      <c r="K586" s="130">
        <v>1800</v>
      </c>
      <c r="L586" s="130">
        <v>1834</v>
      </c>
      <c r="M586" s="356">
        <f aca="true" t="shared" si="115" ref="M586:M643">L586/K586</f>
        <v>1.018888888888889</v>
      </c>
      <c r="N586" s="130">
        <f t="shared" si="114"/>
        <v>1834</v>
      </c>
      <c r="O586" s="130">
        <v>0</v>
      </c>
      <c r="P586" s="354"/>
      <c r="Q586" s="355"/>
      <c r="R586" s="356"/>
      <c r="S586" s="356"/>
      <c r="T586" s="492"/>
    </row>
    <row r="587" spans="1:20" s="167" customFormat="1" ht="16.5" customHeight="1">
      <c r="A587" s="510"/>
      <c r="B587" s="536" t="s">
        <v>18</v>
      </c>
      <c r="C587" s="129" t="s">
        <v>19</v>
      </c>
      <c r="D587" s="6"/>
      <c r="E587" s="6">
        <v>1250</v>
      </c>
      <c r="F587" s="6">
        <v>100</v>
      </c>
      <c r="G587" s="6">
        <v>0</v>
      </c>
      <c r="H587" s="6">
        <v>2500</v>
      </c>
      <c r="I587" s="6">
        <v>0</v>
      </c>
      <c r="J587" s="6">
        <v>0</v>
      </c>
      <c r="K587" s="130">
        <v>3600</v>
      </c>
      <c r="L587" s="130">
        <v>3668</v>
      </c>
      <c r="M587" s="356">
        <f t="shared" si="115"/>
        <v>1.018888888888889</v>
      </c>
      <c r="N587" s="130">
        <f t="shared" si="114"/>
        <v>3668</v>
      </c>
      <c r="O587" s="130">
        <v>0</v>
      </c>
      <c r="P587" s="354"/>
      <c r="Q587" s="355">
        <v>0</v>
      </c>
      <c r="R587" s="356"/>
      <c r="S587" s="356"/>
      <c r="T587" s="492"/>
    </row>
    <row r="588" spans="1:20" s="167" customFormat="1" ht="15.75" customHeight="1">
      <c r="A588" s="510"/>
      <c r="B588" s="533" t="s">
        <v>22</v>
      </c>
      <c r="C588" s="129" t="s">
        <v>23</v>
      </c>
      <c r="D588" s="6"/>
      <c r="E588" s="6">
        <v>21517</v>
      </c>
      <c r="F588" s="6">
        <v>0</v>
      </c>
      <c r="G588" s="6">
        <v>0</v>
      </c>
      <c r="H588" s="6">
        <v>11800</v>
      </c>
      <c r="I588" s="6">
        <v>0</v>
      </c>
      <c r="J588" s="6">
        <v>0</v>
      </c>
      <c r="K588" s="130">
        <v>16560</v>
      </c>
      <c r="L588" s="130">
        <v>17222</v>
      </c>
      <c r="M588" s="356">
        <f t="shared" si="115"/>
        <v>1.039975845410628</v>
      </c>
      <c r="N588" s="130">
        <f t="shared" si="114"/>
        <v>17222</v>
      </c>
      <c r="O588" s="130">
        <v>0</v>
      </c>
      <c r="P588" s="354"/>
      <c r="Q588" s="355">
        <v>0</v>
      </c>
      <c r="R588" s="356"/>
      <c r="S588" s="356"/>
      <c r="T588" s="492"/>
    </row>
    <row r="589" spans="1:20" s="167" customFormat="1" ht="15" customHeight="1">
      <c r="A589" s="510"/>
      <c r="B589" s="533" t="s">
        <v>38</v>
      </c>
      <c r="C589" s="129" t="s">
        <v>39</v>
      </c>
      <c r="D589" s="6"/>
      <c r="E589" s="6"/>
      <c r="F589" s="6"/>
      <c r="G589" s="6"/>
      <c r="H589" s="6">
        <v>1217</v>
      </c>
      <c r="I589" s="6">
        <v>0</v>
      </c>
      <c r="J589" s="6">
        <v>0</v>
      </c>
      <c r="K589" s="130">
        <v>623</v>
      </c>
      <c r="L589" s="130">
        <v>0</v>
      </c>
      <c r="M589" s="356">
        <f t="shared" si="115"/>
        <v>0</v>
      </c>
      <c r="N589" s="130">
        <f t="shared" si="114"/>
        <v>0</v>
      </c>
      <c r="O589" s="130">
        <v>0</v>
      </c>
      <c r="P589" s="354"/>
      <c r="Q589" s="355">
        <v>0</v>
      </c>
      <c r="R589" s="356"/>
      <c r="S589" s="356"/>
      <c r="T589" s="492"/>
    </row>
    <row r="590" spans="1:20" s="167" customFormat="1" ht="16.5" customHeight="1">
      <c r="A590" s="510"/>
      <c r="B590" s="533" t="s">
        <v>317</v>
      </c>
      <c r="C590" s="129" t="s">
        <v>321</v>
      </c>
      <c r="D590" s="6"/>
      <c r="E590" s="6"/>
      <c r="F590" s="6"/>
      <c r="G590" s="6"/>
      <c r="H590" s="6"/>
      <c r="I590" s="6"/>
      <c r="J590" s="6"/>
      <c r="K590" s="130">
        <v>700</v>
      </c>
      <c r="L590" s="130">
        <v>700</v>
      </c>
      <c r="M590" s="356">
        <f t="shared" si="115"/>
        <v>1</v>
      </c>
      <c r="N590" s="130">
        <f t="shared" si="114"/>
        <v>700</v>
      </c>
      <c r="O590" s="130">
        <v>0</v>
      </c>
      <c r="P590" s="354"/>
      <c r="Q590" s="355"/>
      <c r="R590" s="356"/>
      <c r="S590" s="356"/>
      <c r="T590" s="492"/>
    </row>
    <row r="591" spans="1:20" s="167" customFormat="1" ht="15" customHeight="1">
      <c r="A591" s="510"/>
      <c r="B591" s="533" t="s">
        <v>318</v>
      </c>
      <c r="C591" s="129" t="s">
        <v>322</v>
      </c>
      <c r="D591" s="6"/>
      <c r="E591" s="6"/>
      <c r="F591" s="6"/>
      <c r="G591" s="6"/>
      <c r="H591" s="6"/>
      <c r="I591" s="6"/>
      <c r="J591" s="6"/>
      <c r="K591" s="130">
        <v>500</v>
      </c>
      <c r="L591" s="130">
        <v>500</v>
      </c>
      <c r="M591" s="356">
        <f t="shared" si="115"/>
        <v>1</v>
      </c>
      <c r="N591" s="130">
        <f t="shared" si="114"/>
        <v>500</v>
      </c>
      <c r="O591" s="130">
        <v>0</v>
      </c>
      <c r="P591" s="354"/>
      <c r="Q591" s="355"/>
      <c r="R591" s="356"/>
      <c r="S591" s="356"/>
      <c r="T591" s="492"/>
    </row>
    <row r="592" spans="1:20" s="167" customFormat="1" ht="15" customHeight="1">
      <c r="A592" s="510"/>
      <c r="B592" s="533" t="s">
        <v>319</v>
      </c>
      <c r="C592" s="129" t="s">
        <v>323</v>
      </c>
      <c r="D592" s="6"/>
      <c r="E592" s="6"/>
      <c r="F592" s="6"/>
      <c r="G592" s="6"/>
      <c r="H592" s="6"/>
      <c r="I592" s="6"/>
      <c r="J592" s="6"/>
      <c r="K592" s="130">
        <v>600</v>
      </c>
      <c r="L592" s="130">
        <v>600</v>
      </c>
      <c r="M592" s="356">
        <f t="shared" si="115"/>
        <v>1</v>
      </c>
      <c r="N592" s="130">
        <f t="shared" si="114"/>
        <v>600</v>
      </c>
      <c r="O592" s="130">
        <v>0</v>
      </c>
      <c r="P592" s="354"/>
      <c r="Q592" s="355"/>
      <c r="R592" s="356"/>
      <c r="S592" s="356"/>
      <c r="T592" s="492"/>
    </row>
    <row r="593" spans="1:20" s="167" customFormat="1" ht="23.25" customHeight="1">
      <c r="A593" s="508" t="s">
        <v>350</v>
      </c>
      <c r="B593" s="542"/>
      <c r="C593" s="327" t="s">
        <v>351</v>
      </c>
      <c r="D593" s="326" t="e">
        <f>D595+D596+D597+#REF!+#REF!</f>
        <v>#REF!</v>
      </c>
      <c r="E593" s="326" t="e">
        <f>E595+E596+E597+E598+E594+#REF!+#REF!+#REF!+#REF!+#REF!+#REF!+#REF!+#REF!</f>
        <v>#REF!</v>
      </c>
      <c r="F593" s="326" t="e">
        <f>F595+F596+F597+F598+F594+#REF!+#REF!+#REF!+#REF!+#REF!+#REF!+#REF!+#REF!</f>
        <v>#REF!</v>
      </c>
      <c r="G593" s="326" t="e">
        <f>G595+G596+G597+G598+G594+#REF!+#REF!+#REF!+#REF!+#REF!+#REF!+#REF!+#REF!</f>
        <v>#REF!</v>
      </c>
      <c r="H593" s="326" t="e">
        <f>H595+H596+H597+H598+H594+#REF!+H600+H601+H604+H606+H607+#REF!</f>
        <v>#REF!</v>
      </c>
      <c r="I593" s="326" t="e">
        <f>I595+I596+I597+I598+I594+#REF!+I600+I601+I604+I606+I607</f>
        <v>#REF!</v>
      </c>
      <c r="J593" s="326" t="e">
        <f>J595+J596+J597+J598+J594+#REF!+J600+J601+J604+J606+J607</f>
        <v>#REF!</v>
      </c>
      <c r="K593" s="353">
        <f>SUM(K594:K610)</f>
        <v>1687565</v>
      </c>
      <c r="L593" s="353">
        <f>SUM(L594:L610)</f>
        <v>1048613</v>
      </c>
      <c r="M593" s="539">
        <f t="shared" si="115"/>
        <v>0.6213763617993974</v>
      </c>
      <c r="N593" s="353">
        <f aca="true" t="shared" si="116" ref="N593:T593">SUM(N594:N610)</f>
        <v>1048613</v>
      </c>
      <c r="O593" s="353">
        <f t="shared" si="116"/>
        <v>558616</v>
      </c>
      <c r="P593" s="353">
        <f t="shared" si="116"/>
        <v>89072</v>
      </c>
      <c r="Q593" s="353">
        <f t="shared" si="116"/>
        <v>0</v>
      </c>
      <c r="R593" s="353">
        <f t="shared" si="116"/>
        <v>0</v>
      </c>
      <c r="S593" s="353">
        <f t="shared" si="116"/>
        <v>0</v>
      </c>
      <c r="T593" s="491">
        <f t="shared" si="116"/>
        <v>0</v>
      </c>
    </row>
    <row r="594" spans="1:20" s="167" customFormat="1" ht="11.25" customHeight="1">
      <c r="A594" s="510"/>
      <c r="B594" s="536" t="s">
        <v>910</v>
      </c>
      <c r="C594" s="129" t="s">
        <v>144</v>
      </c>
      <c r="D594" s="6"/>
      <c r="E594" s="6">
        <v>1600</v>
      </c>
      <c r="F594" s="6">
        <v>0</v>
      </c>
      <c r="G594" s="6">
        <v>140</v>
      </c>
      <c r="H594" s="14">
        <v>2734</v>
      </c>
      <c r="I594" s="14">
        <v>0</v>
      </c>
      <c r="J594" s="14">
        <v>0</v>
      </c>
      <c r="K594" s="130">
        <v>2734</v>
      </c>
      <c r="L594" s="130">
        <v>350</v>
      </c>
      <c r="M594" s="356">
        <f t="shared" si="115"/>
        <v>0.12801755669348938</v>
      </c>
      <c r="N594" s="130">
        <f>L594</f>
        <v>350</v>
      </c>
      <c r="O594" s="130">
        <v>0</v>
      </c>
      <c r="P594" s="354"/>
      <c r="Q594" s="355">
        <v>0</v>
      </c>
      <c r="R594" s="356"/>
      <c r="S594" s="356"/>
      <c r="T594" s="498"/>
    </row>
    <row r="595" spans="1:20" s="167" customFormat="1" ht="16.5" customHeight="1">
      <c r="A595" s="510"/>
      <c r="B595" s="533" t="s">
        <v>2</v>
      </c>
      <c r="C595" s="129" t="s">
        <v>3</v>
      </c>
      <c r="D595" s="6">
        <v>760149</v>
      </c>
      <c r="E595" s="6">
        <v>761652</v>
      </c>
      <c r="F595" s="6">
        <v>1187</v>
      </c>
      <c r="G595" s="6">
        <v>0</v>
      </c>
      <c r="H595" s="6">
        <v>374354</v>
      </c>
      <c r="I595" s="6">
        <v>0</v>
      </c>
      <c r="J595" s="6">
        <v>0</v>
      </c>
      <c r="K595" s="130">
        <v>504819</v>
      </c>
      <c r="L595" s="130">
        <v>511530</v>
      </c>
      <c r="M595" s="356">
        <f t="shared" si="115"/>
        <v>1.0132938736458017</v>
      </c>
      <c r="N595" s="130">
        <f aca="true" t="shared" si="117" ref="N595:N607">L595</f>
        <v>511530</v>
      </c>
      <c r="O595" s="130">
        <f>N595</f>
        <v>511530</v>
      </c>
      <c r="P595" s="354"/>
      <c r="Q595" s="355">
        <v>0</v>
      </c>
      <c r="R595" s="356"/>
      <c r="S595" s="356"/>
      <c r="T595" s="498"/>
    </row>
    <row r="596" spans="1:20" s="167" customFormat="1" ht="14.25" customHeight="1">
      <c r="A596" s="510"/>
      <c r="B596" s="533" t="s">
        <v>6</v>
      </c>
      <c r="C596" s="129" t="s">
        <v>7</v>
      </c>
      <c r="D596" s="6">
        <v>56427</v>
      </c>
      <c r="E596" s="6">
        <v>62354</v>
      </c>
      <c r="F596" s="6">
        <v>0</v>
      </c>
      <c r="G596" s="6">
        <v>0</v>
      </c>
      <c r="H596" s="14">
        <v>32155</v>
      </c>
      <c r="I596" s="14">
        <v>0</v>
      </c>
      <c r="J596" s="14">
        <v>0</v>
      </c>
      <c r="K596" s="130">
        <v>41880</v>
      </c>
      <c r="L596" s="130">
        <v>42046</v>
      </c>
      <c r="M596" s="356">
        <f t="shared" si="115"/>
        <v>1.0039637058261701</v>
      </c>
      <c r="N596" s="130">
        <f t="shared" si="117"/>
        <v>42046</v>
      </c>
      <c r="O596" s="130">
        <f>N596</f>
        <v>42046</v>
      </c>
      <c r="P596" s="354"/>
      <c r="Q596" s="355">
        <v>0</v>
      </c>
      <c r="R596" s="356"/>
      <c r="S596" s="356"/>
      <c r="T596" s="498"/>
    </row>
    <row r="597" spans="1:20" s="167" customFormat="1" ht="14.25" customHeight="1">
      <c r="A597" s="510"/>
      <c r="B597" s="536" t="s">
        <v>56</v>
      </c>
      <c r="C597" s="129" t="s">
        <v>34</v>
      </c>
      <c r="D597" s="6">
        <v>162435</v>
      </c>
      <c r="E597" s="6">
        <v>143919</v>
      </c>
      <c r="F597" s="6">
        <v>212</v>
      </c>
      <c r="G597" s="6">
        <v>0</v>
      </c>
      <c r="H597" s="14">
        <v>69400</v>
      </c>
      <c r="I597" s="14">
        <v>0</v>
      </c>
      <c r="J597" s="14">
        <v>0</v>
      </c>
      <c r="K597" s="130">
        <v>90167</v>
      </c>
      <c r="L597" s="130">
        <v>78108</v>
      </c>
      <c r="M597" s="356">
        <f t="shared" si="115"/>
        <v>0.8662592744573957</v>
      </c>
      <c r="N597" s="130">
        <f t="shared" si="117"/>
        <v>78108</v>
      </c>
      <c r="O597" s="130">
        <v>0</v>
      </c>
      <c r="P597" s="354">
        <f>N597</f>
        <v>78108</v>
      </c>
      <c r="Q597" s="355">
        <v>0</v>
      </c>
      <c r="R597" s="356"/>
      <c r="S597" s="356"/>
      <c r="T597" s="498"/>
    </row>
    <row r="598" spans="1:20" s="167" customFormat="1" ht="13.5" customHeight="1">
      <c r="A598" s="510"/>
      <c r="B598" s="536" t="s">
        <v>8</v>
      </c>
      <c r="C598" s="129" t="s">
        <v>9</v>
      </c>
      <c r="D598" s="6"/>
      <c r="E598" s="6">
        <v>19637</v>
      </c>
      <c r="F598" s="6">
        <v>29</v>
      </c>
      <c r="G598" s="6">
        <v>0</v>
      </c>
      <c r="H598" s="14">
        <v>9470</v>
      </c>
      <c r="I598" s="14">
        <v>0</v>
      </c>
      <c r="J598" s="14">
        <v>0</v>
      </c>
      <c r="K598" s="130">
        <v>12520</v>
      </c>
      <c r="L598" s="130">
        <v>10964</v>
      </c>
      <c r="M598" s="356">
        <f t="shared" si="115"/>
        <v>0.8757188498402556</v>
      </c>
      <c r="N598" s="130">
        <f t="shared" si="117"/>
        <v>10964</v>
      </c>
      <c r="O598" s="130">
        <v>0</v>
      </c>
      <c r="P598" s="354">
        <f>N598</f>
        <v>10964</v>
      </c>
      <c r="Q598" s="355">
        <v>0</v>
      </c>
      <c r="R598" s="356"/>
      <c r="S598" s="356"/>
      <c r="T598" s="498"/>
    </row>
    <row r="599" spans="1:20" s="167" customFormat="1" ht="14.25" customHeight="1">
      <c r="A599" s="510"/>
      <c r="B599" s="536" t="s">
        <v>735</v>
      </c>
      <c r="C599" s="129" t="s">
        <v>736</v>
      </c>
      <c r="D599" s="6"/>
      <c r="E599" s="6"/>
      <c r="F599" s="6"/>
      <c r="G599" s="6"/>
      <c r="H599" s="14"/>
      <c r="I599" s="14"/>
      <c r="J599" s="14"/>
      <c r="K599" s="130">
        <v>5000</v>
      </c>
      <c r="L599" s="130">
        <v>5040</v>
      </c>
      <c r="M599" s="356">
        <f t="shared" si="115"/>
        <v>1.008</v>
      </c>
      <c r="N599" s="130">
        <f t="shared" si="117"/>
        <v>5040</v>
      </c>
      <c r="O599" s="130">
        <f>N599</f>
        <v>5040</v>
      </c>
      <c r="P599" s="354"/>
      <c r="Q599" s="355">
        <v>0</v>
      </c>
      <c r="R599" s="356"/>
      <c r="S599" s="356"/>
      <c r="T599" s="498"/>
    </row>
    <row r="600" spans="1:20" s="167" customFormat="1" ht="13.5" customHeight="1">
      <c r="A600" s="510"/>
      <c r="B600" s="536" t="s">
        <v>10</v>
      </c>
      <c r="C600" s="129" t="s">
        <v>37</v>
      </c>
      <c r="D600" s="6">
        <v>200</v>
      </c>
      <c r="E600" s="6">
        <v>0</v>
      </c>
      <c r="F600" s="6"/>
      <c r="G600" s="6"/>
      <c r="H600" s="14">
        <v>275062</v>
      </c>
      <c r="I600" s="14">
        <v>0</v>
      </c>
      <c r="J600" s="14">
        <v>0</v>
      </c>
      <c r="K600" s="130">
        <v>346669</v>
      </c>
      <c r="L600" s="130">
        <v>235760</v>
      </c>
      <c r="M600" s="356">
        <f t="shared" si="115"/>
        <v>0.6800723456669041</v>
      </c>
      <c r="N600" s="130">
        <f t="shared" si="117"/>
        <v>235760</v>
      </c>
      <c r="O600" s="130">
        <v>0</v>
      </c>
      <c r="P600" s="354"/>
      <c r="Q600" s="355">
        <v>0</v>
      </c>
      <c r="R600" s="356"/>
      <c r="S600" s="356"/>
      <c r="T600" s="498"/>
    </row>
    <row r="601" spans="1:20" s="167" customFormat="1" ht="13.5" customHeight="1">
      <c r="A601" s="510"/>
      <c r="B601" s="536" t="s">
        <v>12</v>
      </c>
      <c r="C601" s="129" t="s">
        <v>97</v>
      </c>
      <c r="D601" s="6"/>
      <c r="E601" s="6"/>
      <c r="F601" s="6"/>
      <c r="G601" s="6"/>
      <c r="H601" s="14">
        <v>85600</v>
      </c>
      <c r="I601" s="14">
        <v>0</v>
      </c>
      <c r="J601" s="14">
        <v>0</v>
      </c>
      <c r="K601" s="130">
        <v>74954</v>
      </c>
      <c r="L601" s="130">
        <v>75180</v>
      </c>
      <c r="M601" s="356">
        <f t="shared" si="115"/>
        <v>1.0030151826453557</v>
      </c>
      <c r="N601" s="130">
        <f t="shared" si="117"/>
        <v>75180</v>
      </c>
      <c r="O601" s="130">
        <v>0</v>
      </c>
      <c r="P601" s="354"/>
      <c r="Q601" s="355">
        <v>0</v>
      </c>
      <c r="R601" s="356"/>
      <c r="S601" s="356"/>
      <c r="T601" s="498"/>
    </row>
    <row r="602" spans="1:20" s="167" customFormat="1" ht="13.5" customHeight="1">
      <c r="A602" s="510"/>
      <c r="B602" s="536" t="s">
        <v>14</v>
      </c>
      <c r="C602" s="129" t="s">
        <v>98</v>
      </c>
      <c r="D602" s="6"/>
      <c r="E602" s="6"/>
      <c r="F602" s="6"/>
      <c r="G602" s="6"/>
      <c r="H602" s="14"/>
      <c r="I602" s="14"/>
      <c r="J602" s="14"/>
      <c r="K602" s="130">
        <v>69126</v>
      </c>
      <c r="L602" s="130">
        <v>0</v>
      </c>
      <c r="M602" s="356">
        <f t="shared" si="115"/>
        <v>0</v>
      </c>
      <c r="N602" s="130">
        <f t="shared" si="117"/>
        <v>0</v>
      </c>
      <c r="O602" s="130"/>
      <c r="P602" s="354"/>
      <c r="Q602" s="355"/>
      <c r="R602" s="356"/>
      <c r="S602" s="356"/>
      <c r="T602" s="498"/>
    </row>
    <row r="603" spans="1:20" s="167" customFormat="1" ht="13.5" customHeight="1">
      <c r="A603" s="510"/>
      <c r="B603" s="536" t="s">
        <v>76</v>
      </c>
      <c r="C603" s="129" t="s">
        <v>77</v>
      </c>
      <c r="D603" s="6"/>
      <c r="E603" s="6"/>
      <c r="F603" s="6"/>
      <c r="G603" s="6"/>
      <c r="H603" s="14"/>
      <c r="I603" s="14"/>
      <c r="J603" s="14"/>
      <c r="K603" s="130">
        <v>660</v>
      </c>
      <c r="L603" s="130">
        <v>600</v>
      </c>
      <c r="M603" s="356">
        <f t="shared" si="115"/>
        <v>0.9090909090909091</v>
      </c>
      <c r="N603" s="130">
        <f t="shared" si="117"/>
        <v>600</v>
      </c>
      <c r="O603" s="130">
        <v>0</v>
      </c>
      <c r="P603" s="354"/>
      <c r="Q603" s="355">
        <v>0</v>
      </c>
      <c r="R603" s="356"/>
      <c r="S603" s="356"/>
      <c r="T603" s="498"/>
    </row>
    <row r="604" spans="1:20" s="167" customFormat="1" ht="13.5" customHeight="1">
      <c r="A604" s="510"/>
      <c r="B604" s="536" t="s">
        <v>16</v>
      </c>
      <c r="C604" s="129" t="s">
        <v>99</v>
      </c>
      <c r="D604" s="6"/>
      <c r="E604" s="6"/>
      <c r="F604" s="6"/>
      <c r="G604" s="6"/>
      <c r="H604" s="14">
        <v>39410</v>
      </c>
      <c r="I604" s="14">
        <v>0</v>
      </c>
      <c r="J604" s="14">
        <v>0</v>
      </c>
      <c r="K604" s="130">
        <v>33563</v>
      </c>
      <c r="L604" s="130">
        <v>45134</v>
      </c>
      <c r="M604" s="356">
        <f t="shared" si="115"/>
        <v>1.3447546405267705</v>
      </c>
      <c r="N604" s="130">
        <f t="shared" si="117"/>
        <v>45134</v>
      </c>
      <c r="O604" s="130">
        <v>0</v>
      </c>
      <c r="P604" s="354"/>
      <c r="Q604" s="355">
        <v>0</v>
      </c>
      <c r="R604" s="356"/>
      <c r="S604" s="356"/>
      <c r="T604" s="498"/>
    </row>
    <row r="605" spans="1:20" s="167" customFormat="1" ht="13.5" customHeight="1">
      <c r="A605" s="510"/>
      <c r="B605" s="536" t="s">
        <v>316</v>
      </c>
      <c r="C605" s="129" t="s">
        <v>320</v>
      </c>
      <c r="D605" s="6"/>
      <c r="E605" s="6"/>
      <c r="F605" s="6"/>
      <c r="G605" s="6"/>
      <c r="H605" s="14"/>
      <c r="I605" s="14"/>
      <c r="J605" s="14"/>
      <c r="K605" s="130">
        <v>1200</v>
      </c>
      <c r="L605" s="130">
        <v>1200</v>
      </c>
      <c r="M605" s="356">
        <f t="shared" si="115"/>
        <v>1</v>
      </c>
      <c r="N605" s="130">
        <f t="shared" si="117"/>
        <v>1200</v>
      </c>
      <c r="O605" s="130"/>
      <c r="P605" s="354"/>
      <c r="Q605" s="355"/>
      <c r="R605" s="356"/>
      <c r="S605" s="356"/>
      <c r="T605" s="498"/>
    </row>
    <row r="606" spans="1:20" s="167" customFormat="1" ht="13.5" customHeight="1">
      <c r="A606" s="510"/>
      <c r="B606" s="536" t="s">
        <v>22</v>
      </c>
      <c r="C606" s="129" t="s">
        <v>23</v>
      </c>
      <c r="D606" s="6"/>
      <c r="E606" s="6"/>
      <c r="F606" s="6"/>
      <c r="G606" s="6"/>
      <c r="H606" s="14">
        <v>15678</v>
      </c>
      <c r="I606" s="14">
        <v>0</v>
      </c>
      <c r="J606" s="14">
        <v>0</v>
      </c>
      <c r="K606" s="130">
        <v>27159</v>
      </c>
      <c r="L606" s="130">
        <v>26601</v>
      </c>
      <c r="M606" s="356">
        <f t="shared" si="115"/>
        <v>0.9794543245333038</v>
      </c>
      <c r="N606" s="130">
        <f t="shared" si="117"/>
        <v>26601</v>
      </c>
      <c r="O606" s="130">
        <v>0</v>
      </c>
      <c r="P606" s="354"/>
      <c r="Q606" s="355">
        <v>0</v>
      </c>
      <c r="R606" s="356"/>
      <c r="S606" s="356"/>
      <c r="T606" s="498"/>
    </row>
    <row r="607" spans="1:20" s="167" customFormat="1" ht="12.75" customHeight="1">
      <c r="A607" s="510"/>
      <c r="B607" s="536" t="s">
        <v>38</v>
      </c>
      <c r="C607" s="129" t="s">
        <v>39</v>
      </c>
      <c r="D607" s="6"/>
      <c r="E607" s="6">
        <v>94026</v>
      </c>
      <c r="F607" s="6">
        <v>0</v>
      </c>
      <c r="G607" s="6">
        <v>0</v>
      </c>
      <c r="H607" s="14">
        <v>4200</v>
      </c>
      <c r="I607" s="14">
        <v>0</v>
      </c>
      <c r="J607" s="14">
        <v>0</v>
      </c>
      <c r="K607" s="130">
        <v>6060</v>
      </c>
      <c r="L607" s="130">
        <v>16100</v>
      </c>
      <c r="M607" s="356">
        <f t="shared" si="115"/>
        <v>2.6567656765676566</v>
      </c>
      <c r="N607" s="130">
        <f t="shared" si="117"/>
        <v>16100</v>
      </c>
      <c r="O607" s="130">
        <v>0</v>
      </c>
      <c r="P607" s="354"/>
      <c r="Q607" s="355">
        <v>0</v>
      </c>
      <c r="R607" s="356"/>
      <c r="S607" s="356"/>
      <c r="T607" s="498"/>
    </row>
    <row r="608" spans="1:20" s="167" customFormat="1" ht="12.75" customHeight="1">
      <c r="A608" s="510"/>
      <c r="B608" s="536" t="s">
        <v>40</v>
      </c>
      <c r="C608" s="129" t="s">
        <v>872</v>
      </c>
      <c r="D608" s="6"/>
      <c r="E608" s="6"/>
      <c r="F608" s="6"/>
      <c r="G608" s="6"/>
      <c r="H608" s="14"/>
      <c r="I608" s="14"/>
      <c r="J608" s="14"/>
      <c r="K608" s="130">
        <v>0</v>
      </c>
      <c r="L608" s="130">
        <v>0</v>
      </c>
      <c r="M608" s="356">
        <v>0</v>
      </c>
      <c r="N608" s="130"/>
      <c r="O608" s="130">
        <v>0</v>
      </c>
      <c r="P608" s="354"/>
      <c r="Q608" s="355">
        <v>0</v>
      </c>
      <c r="R608" s="356"/>
      <c r="S608" s="356"/>
      <c r="T608" s="498">
        <f>L608</f>
        <v>0</v>
      </c>
    </row>
    <row r="609" spans="1:20" s="167" customFormat="1" ht="12.75" customHeight="1">
      <c r="A609" s="510"/>
      <c r="B609" s="536" t="s">
        <v>401</v>
      </c>
      <c r="C609" s="129" t="s">
        <v>872</v>
      </c>
      <c r="D609" s="6"/>
      <c r="E609" s="6"/>
      <c r="F609" s="6"/>
      <c r="G609" s="6"/>
      <c r="H609" s="14"/>
      <c r="I609" s="14"/>
      <c r="J609" s="14"/>
      <c r="K609" s="130">
        <v>300233</v>
      </c>
      <c r="L609" s="130">
        <v>0</v>
      </c>
      <c r="M609" s="356">
        <f t="shared" si="115"/>
        <v>0</v>
      </c>
      <c r="N609" s="130"/>
      <c r="O609" s="130"/>
      <c r="P609" s="354"/>
      <c r="Q609" s="355"/>
      <c r="R609" s="356"/>
      <c r="S609" s="356"/>
      <c r="T609" s="498">
        <f>L609</f>
        <v>0</v>
      </c>
    </row>
    <row r="610" spans="1:20" s="167" customFormat="1" ht="12.75" customHeight="1">
      <c r="A610" s="510"/>
      <c r="B610" s="536" t="s">
        <v>532</v>
      </c>
      <c r="C610" s="129" t="s">
        <v>872</v>
      </c>
      <c r="D610" s="6"/>
      <c r="E610" s="6"/>
      <c r="F610" s="6"/>
      <c r="G610" s="6"/>
      <c r="H610" s="14"/>
      <c r="I610" s="14"/>
      <c r="J610" s="14"/>
      <c r="K610" s="130">
        <v>170821</v>
      </c>
      <c r="L610" s="130">
        <v>0</v>
      </c>
      <c r="M610" s="356">
        <f t="shared" si="115"/>
        <v>0</v>
      </c>
      <c r="N610" s="130"/>
      <c r="O610" s="130"/>
      <c r="P610" s="354"/>
      <c r="Q610" s="355"/>
      <c r="R610" s="356"/>
      <c r="S610" s="356"/>
      <c r="T610" s="498">
        <f>L610</f>
        <v>0</v>
      </c>
    </row>
    <row r="611" spans="1:20" s="167" customFormat="1" ht="25.5" customHeight="1">
      <c r="A611" s="508" t="s">
        <v>352</v>
      </c>
      <c r="B611" s="544"/>
      <c r="C611" s="327" t="s">
        <v>353</v>
      </c>
      <c r="D611" s="326"/>
      <c r="E611" s="326"/>
      <c r="F611" s="326"/>
      <c r="G611" s="326"/>
      <c r="H611" s="326">
        <f>H612</f>
        <v>5083</v>
      </c>
      <c r="I611" s="326">
        <f>I612</f>
        <v>0</v>
      </c>
      <c r="J611" s="326">
        <f>J612</f>
        <v>0</v>
      </c>
      <c r="K611" s="353">
        <f>SUM(K612:K626)</f>
        <v>854458</v>
      </c>
      <c r="L611" s="353">
        <f>SUM(L612:L626)</f>
        <v>206530</v>
      </c>
      <c r="M611" s="539">
        <f t="shared" si="115"/>
        <v>0.24170877913250272</v>
      </c>
      <c r="N611" s="353">
        <f aca="true" t="shared" si="118" ref="N611:T611">SUM(N612:N626)</f>
        <v>206530</v>
      </c>
      <c r="O611" s="353">
        <f t="shared" si="118"/>
        <v>6565</v>
      </c>
      <c r="P611" s="353">
        <f t="shared" si="118"/>
        <v>1285</v>
      </c>
      <c r="Q611" s="353">
        <f t="shared" si="118"/>
        <v>0</v>
      </c>
      <c r="R611" s="353">
        <f t="shared" si="118"/>
        <v>0</v>
      </c>
      <c r="S611" s="353">
        <f t="shared" si="118"/>
        <v>0</v>
      </c>
      <c r="T611" s="491">
        <f t="shared" si="118"/>
        <v>0</v>
      </c>
    </row>
    <row r="612" spans="1:20" s="167" customFormat="1" ht="14.25" customHeight="1">
      <c r="A612" s="510"/>
      <c r="B612" s="536" t="s">
        <v>900</v>
      </c>
      <c r="C612" s="129" t="s">
        <v>402</v>
      </c>
      <c r="D612" s="6"/>
      <c r="E612" s="6"/>
      <c r="F612" s="6"/>
      <c r="G612" s="6"/>
      <c r="H612" s="14">
        <v>5083</v>
      </c>
      <c r="I612" s="14">
        <v>0</v>
      </c>
      <c r="J612" s="14">
        <v>0</v>
      </c>
      <c r="K612" s="130">
        <v>317600</v>
      </c>
      <c r="L612" s="130">
        <v>6000</v>
      </c>
      <c r="M612" s="356">
        <f t="shared" si="115"/>
        <v>0.018891687657430732</v>
      </c>
      <c r="N612" s="130">
        <f>L612</f>
        <v>6000</v>
      </c>
      <c r="O612" s="130">
        <v>0</v>
      </c>
      <c r="P612" s="354"/>
      <c r="Q612" s="354">
        <v>0</v>
      </c>
      <c r="R612" s="356"/>
      <c r="S612" s="356"/>
      <c r="T612" s="492"/>
    </row>
    <row r="613" spans="1:20" s="167" customFormat="1" ht="14.25" customHeight="1">
      <c r="A613" s="510"/>
      <c r="B613" s="536" t="s">
        <v>403</v>
      </c>
      <c r="C613" s="129" t="s">
        <v>402</v>
      </c>
      <c r="D613" s="6"/>
      <c r="E613" s="6"/>
      <c r="F613" s="6"/>
      <c r="G613" s="6"/>
      <c r="H613" s="14">
        <v>5083</v>
      </c>
      <c r="I613" s="14">
        <v>0</v>
      </c>
      <c r="J613" s="14">
        <v>0</v>
      </c>
      <c r="K613" s="130">
        <v>354470</v>
      </c>
      <c r="L613" s="130">
        <v>127296</v>
      </c>
      <c r="M613" s="356">
        <f t="shared" si="115"/>
        <v>0.35911642734222926</v>
      </c>
      <c r="N613" s="130">
        <f aca="true" t="shared" si="119" ref="N613:N626">L613</f>
        <v>127296</v>
      </c>
      <c r="O613" s="130">
        <v>0</v>
      </c>
      <c r="P613" s="354"/>
      <c r="Q613" s="354">
        <v>0</v>
      </c>
      <c r="R613" s="356"/>
      <c r="S613" s="356"/>
      <c r="T613" s="492"/>
    </row>
    <row r="614" spans="1:20" s="167" customFormat="1" ht="18" customHeight="1">
      <c r="A614" s="510"/>
      <c r="B614" s="536" t="s">
        <v>404</v>
      </c>
      <c r="C614" s="129" t="s">
        <v>402</v>
      </c>
      <c r="D614" s="6"/>
      <c r="E614" s="6"/>
      <c r="F614" s="6"/>
      <c r="G614" s="6"/>
      <c r="H614" s="14">
        <v>5083</v>
      </c>
      <c r="I614" s="14">
        <v>0</v>
      </c>
      <c r="J614" s="14">
        <v>0</v>
      </c>
      <c r="K614" s="130">
        <v>166810</v>
      </c>
      <c r="L614" s="130">
        <v>59904</v>
      </c>
      <c r="M614" s="356">
        <f t="shared" si="115"/>
        <v>0.35911516096157303</v>
      </c>
      <c r="N614" s="130">
        <f t="shared" si="119"/>
        <v>59904</v>
      </c>
      <c r="O614" s="130">
        <v>0</v>
      </c>
      <c r="P614" s="354"/>
      <c r="Q614" s="354">
        <v>0</v>
      </c>
      <c r="R614" s="356"/>
      <c r="S614" s="356"/>
      <c r="T614" s="492"/>
    </row>
    <row r="615" spans="1:20" s="167" customFormat="1" ht="14.25" customHeight="1">
      <c r="A615" s="510"/>
      <c r="B615" s="536" t="s">
        <v>294</v>
      </c>
      <c r="C615" s="129" t="s">
        <v>3</v>
      </c>
      <c r="D615" s="6"/>
      <c r="E615" s="6"/>
      <c r="F615" s="6"/>
      <c r="G615" s="6"/>
      <c r="H615" s="14"/>
      <c r="I615" s="14"/>
      <c r="J615" s="14"/>
      <c r="K615" s="130">
        <v>1326</v>
      </c>
      <c r="L615" s="130">
        <v>4464</v>
      </c>
      <c r="M615" s="356">
        <f t="shared" si="115"/>
        <v>3.3665158371040724</v>
      </c>
      <c r="N615" s="130">
        <f t="shared" si="119"/>
        <v>4464</v>
      </c>
      <c r="O615" s="130">
        <f>N615</f>
        <v>4464</v>
      </c>
      <c r="P615" s="354"/>
      <c r="Q615" s="354"/>
      <c r="R615" s="356"/>
      <c r="S615" s="356"/>
      <c r="T615" s="492"/>
    </row>
    <row r="616" spans="1:20" s="167" customFormat="1" ht="15" customHeight="1">
      <c r="A616" s="510"/>
      <c r="B616" s="536" t="s">
        <v>295</v>
      </c>
      <c r="C616" s="129" t="s">
        <v>3</v>
      </c>
      <c r="D616" s="6"/>
      <c r="E616" s="6"/>
      <c r="F616" s="6"/>
      <c r="G616" s="6"/>
      <c r="H616" s="14"/>
      <c r="I616" s="14"/>
      <c r="J616" s="14"/>
      <c r="K616" s="130">
        <v>624</v>
      </c>
      <c r="L616" s="130">
        <v>2101</v>
      </c>
      <c r="M616" s="356">
        <f t="shared" si="115"/>
        <v>3.3669871794871793</v>
      </c>
      <c r="N616" s="130">
        <f t="shared" si="119"/>
        <v>2101</v>
      </c>
      <c r="O616" s="130">
        <f>N616</f>
        <v>2101</v>
      </c>
      <c r="P616" s="354"/>
      <c r="Q616" s="354"/>
      <c r="R616" s="356"/>
      <c r="S616" s="356"/>
      <c r="T616" s="492"/>
    </row>
    <row r="617" spans="1:20" s="167" customFormat="1" ht="14.25" customHeight="1">
      <c r="A617" s="510"/>
      <c r="B617" s="536" t="s">
        <v>296</v>
      </c>
      <c r="C617" s="129" t="s">
        <v>34</v>
      </c>
      <c r="D617" s="6"/>
      <c r="E617" s="6"/>
      <c r="F617" s="6"/>
      <c r="G617" s="6"/>
      <c r="H617" s="14"/>
      <c r="I617" s="14"/>
      <c r="J617" s="14"/>
      <c r="K617" s="130">
        <v>238</v>
      </c>
      <c r="L617" s="130">
        <v>764</v>
      </c>
      <c r="M617" s="356">
        <f t="shared" si="115"/>
        <v>3.2100840336134455</v>
      </c>
      <c r="N617" s="130">
        <f t="shared" si="119"/>
        <v>764</v>
      </c>
      <c r="O617" s="130">
        <v>0</v>
      </c>
      <c r="P617" s="354">
        <f>N617</f>
        <v>764</v>
      </c>
      <c r="Q617" s="354"/>
      <c r="R617" s="356"/>
      <c r="S617" s="356"/>
      <c r="T617" s="492"/>
    </row>
    <row r="618" spans="1:20" s="167" customFormat="1" ht="17.25" customHeight="1">
      <c r="A618" s="510"/>
      <c r="B618" s="536" t="s">
        <v>297</v>
      </c>
      <c r="C618" s="129" t="s">
        <v>34</v>
      </c>
      <c r="D618" s="6"/>
      <c r="E618" s="6"/>
      <c r="F618" s="6"/>
      <c r="G618" s="6"/>
      <c r="H618" s="14"/>
      <c r="I618" s="14"/>
      <c r="J618" s="14"/>
      <c r="K618" s="130">
        <v>112</v>
      </c>
      <c r="L618" s="130">
        <v>360</v>
      </c>
      <c r="M618" s="356">
        <f t="shared" si="115"/>
        <v>3.2142857142857144</v>
      </c>
      <c r="N618" s="130">
        <f t="shared" si="119"/>
        <v>360</v>
      </c>
      <c r="O618" s="130">
        <v>0</v>
      </c>
      <c r="P618" s="354">
        <f>N618</f>
        <v>360</v>
      </c>
      <c r="Q618" s="354"/>
      <c r="R618" s="356"/>
      <c r="S618" s="356"/>
      <c r="T618" s="492"/>
    </row>
    <row r="619" spans="1:20" s="167" customFormat="1" ht="15" customHeight="1">
      <c r="A619" s="510"/>
      <c r="B619" s="536" t="s">
        <v>298</v>
      </c>
      <c r="C619" s="129" t="s">
        <v>9</v>
      </c>
      <c r="D619" s="6"/>
      <c r="E619" s="6"/>
      <c r="F619" s="6"/>
      <c r="G619" s="6"/>
      <c r="H619" s="14"/>
      <c r="I619" s="14"/>
      <c r="J619" s="14"/>
      <c r="K619" s="130">
        <v>34</v>
      </c>
      <c r="L619" s="130">
        <v>109</v>
      </c>
      <c r="M619" s="356">
        <f t="shared" si="115"/>
        <v>3.2058823529411766</v>
      </c>
      <c r="N619" s="130">
        <f t="shared" si="119"/>
        <v>109</v>
      </c>
      <c r="O619" s="130">
        <v>0</v>
      </c>
      <c r="P619" s="354">
        <f>N619</f>
        <v>109</v>
      </c>
      <c r="Q619" s="354"/>
      <c r="R619" s="356"/>
      <c r="S619" s="356"/>
      <c r="T619" s="492"/>
    </row>
    <row r="620" spans="1:20" s="167" customFormat="1" ht="17.25" customHeight="1">
      <c r="A620" s="510"/>
      <c r="B620" s="536" t="s">
        <v>299</v>
      </c>
      <c r="C620" s="129" t="s">
        <v>9</v>
      </c>
      <c r="D620" s="6"/>
      <c r="E620" s="6"/>
      <c r="F620" s="6"/>
      <c r="G620" s="6"/>
      <c r="H620" s="14"/>
      <c r="I620" s="14"/>
      <c r="J620" s="14"/>
      <c r="K620" s="130">
        <v>16</v>
      </c>
      <c r="L620" s="130">
        <v>52</v>
      </c>
      <c r="M620" s="356">
        <f t="shared" si="115"/>
        <v>3.25</v>
      </c>
      <c r="N620" s="130">
        <f t="shared" si="119"/>
        <v>52</v>
      </c>
      <c r="O620" s="130">
        <v>0</v>
      </c>
      <c r="P620" s="354">
        <f>N620</f>
        <v>52</v>
      </c>
      <c r="Q620" s="354"/>
      <c r="R620" s="356"/>
      <c r="S620" s="356"/>
      <c r="T620" s="492"/>
    </row>
    <row r="621" spans="1:20" s="167" customFormat="1" ht="17.25" customHeight="1">
      <c r="A621" s="510"/>
      <c r="B621" s="536" t="s">
        <v>385</v>
      </c>
      <c r="C621" s="129" t="s">
        <v>736</v>
      </c>
      <c r="D621" s="6"/>
      <c r="E621" s="6"/>
      <c r="F621" s="6"/>
      <c r="G621" s="6"/>
      <c r="H621" s="14">
        <v>5083</v>
      </c>
      <c r="I621" s="14">
        <v>0</v>
      </c>
      <c r="J621" s="14">
        <v>0</v>
      </c>
      <c r="K621" s="130">
        <v>2856</v>
      </c>
      <c r="L621" s="130">
        <v>0</v>
      </c>
      <c r="M621" s="356">
        <f t="shared" si="115"/>
        <v>0</v>
      </c>
      <c r="N621" s="130">
        <f t="shared" si="119"/>
        <v>0</v>
      </c>
      <c r="O621" s="130">
        <f>N621</f>
        <v>0</v>
      </c>
      <c r="P621" s="354"/>
      <c r="Q621" s="354">
        <v>0</v>
      </c>
      <c r="R621" s="356"/>
      <c r="S621" s="356"/>
      <c r="T621" s="492"/>
    </row>
    <row r="622" spans="1:20" s="167" customFormat="1" ht="18" customHeight="1">
      <c r="A622" s="510"/>
      <c r="B622" s="536" t="s">
        <v>386</v>
      </c>
      <c r="C622" s="129" t="s">
        <v>736</v>
      </c>
      <c r="D622" s="6"/>
      <c r="E622" s="6"/>
      <c r="F622" s="6"/>
      <c r="G622" s="6"/>
      <c r="H622" s="14">
        <v>5083</v>
      </c>
      <c r="I622" s="14">
        <v>0</v>
      </c>
      <c r="J622" s="14">
        <v>0</v>
      </c>
      <c r="K622" s="130">
        <v>1344</v>
      </c>
      <c r="L622" s="130">
        <v>0</v>
      </c>
      <c r="M622" s="356">
        <f t="shared" si="115"/>
        <v>0</v>
      </c>
      <c r="N622" s="130">
        <f t="shared" si="119"/>
        <v>0</v>
      </c>
      <c r="O622" s="130">
        <f>N622</f>
        <v>0</v>
      </c>
      <c r="P622" s="354"/>
      <c r="Q622" s="354">
        <v>0</v>
      </c>
      <c r="R622" s="356"/>
      <c r="S622" s="356"/>
      <c r="T622" s="492"/>
    </row>
    <row r="623" spans="1:20" s="167" customFormat="1" ht="16.5" customHeight="1">
      <c r="A623" s="510"/>
      <c r="B623" s="536" t="s">
        <v>387</v>
      </c>
      <c r="C623" s="129" t="s">
        <v>37</v>
      </c>
      <c r="D623" s="6"/>
      <c r="E623" s="6"/>
      <c r="F623" s="6"/>
      <c r="G623" s="6"/>
      <c r="H623" s="14"/>
      <c r="I623" s="14"/>
      <c r="J623" s="14"/>
      <c r="K623" s="130">
        <v>1290</v>
      </c>
      <c r="L623" s="130">
        <v>0</v>
      </c>
      <c r="M623" s="356">
        <f t="shared" si="115"/>
        <v>0</v>
      </c>
      <c r="N623" s="130">
        <f t="shared" si="119"/>
        <v>0</v>
      </c>
      <c r="O623" s="130"/>
      <c r="P623" s="354"/>
      <c r="Q623" s="354"/>
      <c r="R623" s="356"/>
      <c r="S623" s="356"/>
      <c r="T623" s="492"/>
    </row>
    <row r="624" spans="1:20" s="167" customFormat="1" ht="17.25" customHeight="1">
      <c r="A624" s="510"/>
      <c r="B624" s="536" t="s">
        <v>390</v>
      </c>
      <c r="C624" s="129" t="s">
        <v>37</v>
      </c>
      <c r="D624" s="6"/>
      <c r="E624" s="6"/>
      <c r="F624" s="6"/>
      <c r="G624" s="6"/>
      <c r="H624" s="14"/>
      <c r="I624" s="14"/>
      <c r="J624" s="14"/>
      <c r="K624" s="130">
        <v>608</v>
      </c>
      <c r="L624" s="130">
        <v>0</v>
      </c>
      <c r="M624" s="356">
        <f t="shared" si="115"/>
        <v>0</v>
      </c>
      <c r="N624" s="130">
        <f t="shared" si="119"/>
        <v>0</v>
      </c>
      <c r="O624" s="130">
        <v>0</v>
      </c>
      <c r="P624" s="354"/>
      <c r="Q624" s="354"/>
      <c r="R624" s="356"/>
      <c r="S624" s="356"/>
      <c r="T624" s="492"/>
    </row>
    <row r="625" spans="1:20" s="167" customFormat="1" ht="16.5" customHeight="1">
      <c r="A625" s="510"/>
      <c r="B625" s="536" t="s">
        <v>388</v>
      </c>
      <c r="C625" s="129" t="s">
        <v>99</v>
      </c>
      <c r="D625" s="6"/>
      <c r="E625" s="6"/>
      <c r="F625" s="6"/>
      <c r="G625" s="6"/>
      <c r="H625" s="14">
        <v>5083</v>
      </c>
      <c r="I625" s="14">
        <v>0</v>
      </c>
      <c r="J625" s="14">
        <v>0</v>
      </c>
      <c r="K625" s="130">
        <v>4848</v>
      </c>
      <c r="L625" s="130">
        <v>3727</v>
      </c>
      <c r="M625" s="356">
        <f t="shared" si="115"/>
        <v>0.7687706270627063</v>
      </c>
      <c r="N625" s="130">
        <f t="shared" si="119"/>
        <v>3727</v>
      </c>
      <c r="O625" s="130">
        <v>0</v>
      </c>
      <c r="P625" s="354"/>
      <c r="Q625" s="354">
        <v>0</v>
      </c>
      <c r="R625" s="356"/>
      <c r="S625" s="356"/>
      <c r="T625" s="492"/>
    </row>
    <row r="626" spans="1:20" s="167" customFormat="1" ht="15.75" customHeight="1">
      <c r="A626" s="510"/>
      <c r="B626" s="536" t="s">
        <v>389</v>
      </c>
      <c r="C626" s="129" t="s">
        <v>99</v>
      </c>
      <c r="D626" s="6"/>
      <c r="E626" s="6"/>
      <c r="F626" s="6"/>
      <c r="G626" s="6"/>
      <c r="H626" s="14">
        <v>5083</v>
      </c>
      <c r="I626" s="14">
        <v>0</v>
      </c>
      <c r="J626" s="14">
        <v>0</v>
      </c>
      <c r="K626" s="130">
        <v>2282</v>
      </c>
      <c r="L626" s="130">
        <v>1753</v>
      </c>
      <c r="M626" s="356">
        <f t="shared" si="115"/>
        <v>0.7681858019281332</v>
      </c>
      <c r="N626" s="130">
        <f t="shared" si="119"/>
        <v>1753</v>
      </c>
      <c r="O626" s="130">
        <v>0</v>
      </c>
      <c r="P626" s="354"/>
      <c r="Q626" s="354">
        <v>0</v>
      </c>
      <c r="R626" s="356"/>
      <c r="S626" s="356"/>
      <c r="T626" s="492"/>
    </row>
    <row r="627" spans="1:20" s="167" customFormat="1" ht="23.25" customHeight="1">
      <c r="A627" s="508" t="s">
        <v>354</v>
      </c>
      <c r="B627" s="542"/>
      <c r="C627" s="327" t="s">
        <v>355</v>
      </c>
      <c r="D627" s="326">
        <f>D628+D630</f>
        <v>24996</v>
      </c>
      <c r="E627" s="326" t="e">
        <f>E628+E630+E631+#REF!+#REF!+#REF!</f>
        <v>#REF!</v>
      </c>
      <c r="F627" s="326" t="e">
        <f>F628+F630+F631+#REF!+#REF!+#REF!</f>
        <v>#REF!</v>
      </c>
      <c r="G627" s="326" t="e">
        <f>G628+G630+G631+#REF!+#REF!+#REF!</f>
        <v>#REF!</v>
      </c>
      <c r="H627" s="326" t="e">
        <f>H628+#REF!+#REF!+H630+H631</f>
        <v>#REF!</v>
      </c>
      <c r="I627" s="326" t="e">
        <f>I628+#REF!+#REF!+I630+I631</f>
        <v>#REF!</v>
      </c>
      <c r="J627" s="326" t="e">
        <f>J628+#REF!+#REF!+J630+J631</f>
        <v>#REF!</v>
      </c>
      <c r="K627" s="353">
        <f>SUM(K628:K631)</f>
        <v>3900</v>
      </c>
      <c r="L627" s="353">
        <f>SUM(L628:L631)</f>
        <v>3900</v>
      </c>
      <c r="M627" s="539">
        <f t="shared" si="115"/>
        <v>1</v>
      </c>
      <c r="N627" s="353">
        <f aca="true" t="shared" si="120" ref="N627:T627">SUM(N628:N631)</f>
        <v>3900</v>
      </c>
      <c r="O627" s="353">
        <f t="shared" si="120"/>
        <v>1400</v>
      </c>
      <c r="P627" s="353">
        <f t="shared" si="120"/>
        <v>0</v>
      </c>
      <c r="Q627" s="353">
        <f t="shared" si="120"/>
        <v>1500</v>
      </c>
      <c r="R627" s="353">
        <f t="shared" si="120"/>
        <v>0</v>
      </c>
      <c r="S627" s="353">
        <f t="shared" si="120"/>
        <v>0</v>
      </c>
      <c r="T627" s="491">
        <f t="shared" si="120"/>
        <v>0</v>
      </c>
    </row>
    <row r="628" spans="1:20" s="167" customFormat="1" ht="22.5" customHeight="1">
      <c r="A628" s="510"/>
      <c r="B628" s="533" t="s">
        <v>62</v>
      </c>
      <c r="C628" s="129" t="s">
        <v>405</v>
      </c>
      <c r="D628" s="6">
        <v>16664</v>
      </c>
      <c r="E628" s="6">
        <v>16664</v>
      </c>
      <c r="F628" s="6">
        <v>0</v>
      </c>
      <c r="G628" s="6">
        <v>0</v>
      </c>
      <c r="H628" s="14">
        <v>6000</v>
      </c>
      <c r="I628" s="14">
        <v>0</v>
      </c>
      <c r="J628" s="14">
        <v>0</v>
      </c>
      <c r="K628" s="130">
        <v>1500</v>
      </c>
      <c r="L628" s="130">
        <v>1500</v>
      </c>
      <c r="M628" s="356">
        <f t="shared" si="115"/>
        <v>1</v>
      </c>
      <c r="N628" s="130">
        <f>L628</f>
        <v>1500</v>
      </c>
      <c r="O628" s="130">
        <v>0</v>
      </c>
      <c r="P628" s="354"/>
      <c r="Q628" s="355">
        <f>N628</f>
        <v>1500</v>
      </c>
      <c r="R628" s="356"/>
      <c r="S628" s="356"/>
      <c r="T628" s="492"/>
    </row>
    <row r="629" spans="1:20" s="167" customFormat="1" ht="17.25" customHeight="1">
      <c r="A629" s="510"/>
      <c r="B629" s="533" t="s">
        <v>735</v>
      </c>
      <c r="C629" s="129" t="s">
        <v>736</v>
      </c>
      <c r="D629" s="6"/>
      <c r="E629" s="6"/>
      <c r="F629" s="6"/>
      <c r="G629" s="6"/>
      <c r="H629" s="14"/>
      <c r="I629" s="14"/>
      <c r="J629" s="14"/>
      <c r="K629" s="130">
        <v>1400</v>
      </c>
      <c r="L629" s="130">
        <v>1400</v>
      </c>
      <c r="M629" s="356">
        <f t="shared" si="115"/>
        <v>1</v>
      </c>
      <c r="N629" s="130">
        <f>L629</f>
        <v>1400</v>
      </c>
      <c r="O629" s="130">
        <f>N629</f>
        <v>1400</v>
      </c>
      <c r="P629" s="354"/>
      <c r="Q629" s="355">
        <v>0</v>
      </c>
      <c r="R629" s="356"/>
      <c r="S629" s="356"/>
      <c r="T629" s="492"/>
    </row>
    <row r="630" spans="1:20" s="167" customFormat="1" ht="18" customHeight="1">
      <c r="A630" s="510"/>
      <c r="B630" s="533" t="s">
        <v>10</v>
      </c>
      <c r="C630" s="129" t="s">
        <v>37</v>
      </c>
      <c r="D630" s="6">
        <v>8332</v>
      </c>
      <c r="E630" s="6">
        <v>3107</v>
      </c>
      <c r="F630" s="6">
        <v>0</v>
      </c>
      <c r="G630" s="6">
        <v>325</v>
      </c>
      <c r="H630" s="14">
        <v>832</v>
      </c>
      <c r="I630" s="14">
        <v>0</v>
      </c>
      <c r="J630" s="14">
        <v>0</v>
      </c>
      <c r="K630" s="130">
        <v>600</v>
      </c>
      <c r="L630" s="130">
        <v>600</v>
      </c>
      <c r="M630" s="356">
        <f t="shared" si="115"/>
        <v>1</v>
      </c>
      <c r="N630" s="130">
        <f>L630</f>
        <v>600</v>
      </c>
      <c r="O630" s="130">
        <v>0</v>
      </c>
      <c r="P630" s="354"/>
      <c r="Q630" s="355">
        <v>0</v>
      </c>
      <c r="R630" s="356"/>
      <c r="S630" s="356"/>
      <c r="T630" s="492"/>
    </row>
    <row r="631" spans="1:20" s="167" customFormat="1" ht="19.5" customHeight="1">
      <c r="A631" s="510"/>
      <c r="B631" s="533" t="s">
        <v>16</v>
      </c>
      <c r="C631" s="129" t="s">
        <v>17</v>
      </c>
      <c r="D631" s="6"/>
      <c r="E631" s="6">
        <v>2500</v>
      </c>
      <c r="F631" s="6">
        <v>0</v>
      </c>
      <c r="G631" s="6">
        <v>0</v>
      </c>
      <c r="H631" s="14">
        <v>1800</v>
      </c>
      <c r="I631" s="14">
        <v>0</v>
      </c>
      <c r="J631" s="14">
        <v>0</v>
      </c>
      <c r="K631" s="130">
        <v>400</v>
      </c>
      <c r="L631" s="130">
        <v>400</v>
      </c>
      <c r="M631" s="356">
        <f t="shared" si="115"/>
        <v>1</v>
      </c>
      <c r="N631" s="130">
        <f>L631</f>
        <v>400</v>
      </c>
      <c r="O631" s="130">
        <v>0</v>
      </c>
      <c r="P631" s="354"/>
      <c r="Q631" s="355">
        <v>0</v>
      </c>
      <c r="R631" s="356"/>
      <c r="S631" s="356"/>
      <c r="T631" s="492"/>
    </row>
    <row r="632" spans="1:20" s="167" customFormat="1" ht="17.25" customHeight="1">
      <c r="A632" s="508" t="s">
        <v>356</v>
      </c>
      <c r="B632" s="542"/>
      <c r="C632" s="331" t="s">
        <v>72</v>
      </c>
      <c r="D632" s="326"/>
      <c r="E632" s="326">
        <f aca="true" t="shared" si="121" ref="E632:T632">E633</f>
        <v>0</v>
      </c>
      <c r="F632" s="326">
        <f t="shared" si="121"/>
        <v>27582</v>
      </c>
      <c r="G632" s="326">
        <f t="shared" si="121"/>
        <v>0</v>
      </c>
      <c r="H632" s="326">
        <f t="shared" si="121"/>
        <v>12118</v>
      </c>
      <c r="I632" s="326">
        <f t="shared" si="121"/>
        <v>0</v>
      </c>
      <c r="J632" s="326">
        <f t="shared" si="121"/>
        <v>0</v>
      </c>
      <c r="K632" s="353">
        <f t="shared" si="121"/>
        <v>28348</v>
      </c>
      <c r="L632" s="353">
        <f t="shared" si="121"/>
        <v>28353</v>
      </c>
      <c r="M632" s="539">
        <f t="shared" si="115"/>
        <v>1.0001763792860165</v>
      </c>
      <c r="N632" s="353">
        <f t="shared" si="121"/>
        <v>28353</v>
      </c>
      <c r="O632" s="353">
        <f t="shared" si="121"/>
        <v>0</v>
      </c>
      <c r="P632" s="353">
        <f t="shared" si="121"/>
        <v>0</v>
      </c>
      <c r="Q632" s="353">
        <f t="shared" si="121"/>
        <v>0</v>
      </c>
      <c r="R632" s="353">
        <f t="shared" si="121"/>
        <v>0</v>
      </c>
      <c r="S632" s="353">
        <f t="shared" si="121"/>
        <v>0</v>
      </c>
      <c r="T632" s="491">
        <f t="shared" si="121"/>
        <v>0</v>
      </c>
    </row>
    <row r="633" spans="1:20" s="167" customFormat="1" ht="18.75" customHeight="1">
      <c r="A633" s="510"/>
      <c r="B633" s="533" t="s">
        <v>22</v>
      </c>
      <c r="C633" s="129" t="s">
        <v>23</v>
      </c>
      <c r="D633" s="6"/>
      <c r="E633" s="6">
        <v>0</v>
      </c>
      <c r="F633" s="6">
        <v>27582</v>
      </c>
      <c r="G633" s="6">
        <v>0</v>
      </c>
      <c r="H633" s="17">
        <v>12118</v>
      </c>
      <c r="I633" s="17">
        <v>0</v>
      </c>
      <c r="J633" s="17">
        <v>0</v>
      </c>
      <c r="K633" s="130">
        <v>28348</v>
      </c>
      <c r="L633" s="130">
        <v>28353</v>
      </c>
      <c r="M633" s="356">
        <f t="shared" si="115"/>
        <v>1.0001763792860165</v>
      </c>
      <c r="N633" s="362">
        <f>L633</f>
        <v>28353</v>
      </c>
      <c r="O633" s="130">
        <v>0</v>
      </c>
      <c r="P633" s="354"/>
      <c r="Q633" s="355">
        <v>0</v>
      </c>
      <c r="R633" s="356"/>
      <c r="S633" s="356"/>
      <c r="T633" s="492"/>
    </row>
    <row r="634" spans="1:20" s="167" customFormat="1" ht="24" customHeight="1">
      <c r="A634" s="528" t="s">
        <v>357</v>
      </c>
      <c r="B634" s="534"/>
      <c r="C634" s="215" t="s">
        <v>358</v>
      </c>
      <c r="D634" s="201" t="e">
        <f aca="true" t="shared" si="122" ref="D634:T634">D635+D637</f>
        <v>#REF!</v>
      </c>
      <c r="E634" s="201" t="e">
        <f t="shared" si="122"/>
        <v>#REF!</v>
      </c>
      <c r="F634" s="201" t="e">
        <f t="shared" si="122"/>
        <v>#REF!</v>
      </c>
      <c r="G634" s="201" t="e">
        <f t="shared" si="122"/>
        <v>#REF!</v>
      </c>
      <c r="H634" s="201" t="e">
        <f t="shared" si="122"/>
        <v>#REF!</v>
      </c>
      <c r="I634" s="201" t="e">
        <f t="shared" si="122"/>
        <v>#REF!</v>
      </c>
      <c r="J634" s="201" t="e">
        <f t="shared" si="122"/>
        <v>#REF!</v>
      </c>
      <c r="K634" s="357">
        <f t="shared" si="122"/>
        <v>40100</v>
      </c>
      <c r="L634" s="357">
        <f t="shared" si="122"/>
        <v>40100</v>
      </c>
      <c r="M634" s="474">
        <f>L634/K634</f>
        <v>1</v>
      </c>
      <c r="N634" s="357">
        <f t="shared" si="122"/>
        <v>40100</v>
      </c>
      <c r="O634" s="357">
        <f t="shared" si="122"/>
        <v>0</v>
      </c>
      <c r="P634" s="357">
        <f t="shared" si="122"/>
        <v>0</v>
      </c>
      <c r="Q634" s="357">
        <f t="shared" si="122"/>
        <v>33000</v>
      </c>
      <c r="R634" s="357">
        <f t="shared" si="122"/>
        <v>0</v>
      </c>
      <c r="S634" s="357">
        <f t="shared" si="122"/>
        <v>0</v>
      </c>
      <c r="T634" s="493">
        <f t="shared" si="122"/>
        <v>0</v>
      </c>
    </row>
    <row r="635" spans="1:20" s="167" customFormat="1" ht="15" customHeight="1">
      <c r="A635" s="508" t="s">
        <v>359</v>
      </c>
      <c r="B635" s="542"/>
      <c r="C635" s="327" t="s">
        <v>360</v>
      </c>
      <c r="D635" s="326">
        <f aca="true" t="shared" si="123" ref="D635:T635">D636</f>
        <v>0</v>
      </c>
      <c r="E635" s="326">
        <f t="shared" si="123"/>
        <v>30000</v>
      </c>
      <c r="F635" s="326">
        <f t="shared" si="123"/>
        <v>0</v>
      </c>
      <c r="G635" s="326">
        <f t="shared" si="123"/>
        <v>0</v>
      </c>
      <c r="H635" s="326">
        <f t="shared" si="123"/>
        <v>30000</v>
      </c>
      <c r="I635" s="326">
        <f t="shared" si="123"/>
        <v>0</v>
      </c>
      <c r="J635" s="326">
        <f t="shared" si="123"/>
        <v>0</v>
      </c>
      <c r="K635" s="353">
        <f t="shared" si="123"/>
        <v>33000</v>
      </c>
      <c r="L635" s="353">
        <f t="shared" si="123"/>
        <v>33000</v>
      </c>
      <c r="M635" s="541">
        <f>L635/K635</f>
        <v>1</v>
      </c>
      <c r="N635" s="353">
        <f t="shared" si="123"/>
        <v>33000</v>
      </c>
      <c r="O635" s="353">
        <f t="shared" si="123"/>
        <v>0</v>
      </c>
      <c r="P635" s="353">
        <f t="shared" si="123"/>
        <v>0</v>
      </c>
      <c r="Q635" s="353">
        <f t="shared" si="123"/>
        <v>33000</v>
      </c>
      <c r="R635" s="353">
        <f t="shared" si="123"/>
        <v>0</v>
      </c>
      <c r="S635" s="353">
        <f t="shared" si="123"/>
        <v>0</v>
      </c>
      <c r="T635" s="491">
        <f t="shared" si="123"/>
        <v>0</v>
      </c>
    </row>
    <row r="636" spans="1:20" s="167" customFormat="1" ht="22.5" customHeight="1">
      <c r="A636" s="510"/>
      <c r="B636" s="533" t="s">
        <v>62</v>
      </c>
      <c r="C636" s="129" t="s">
        <v>361</v>
      </c>
      <c r="D636" s="6">
        <v>0</v>
      </c>
      <c r="E636" s="6">
        <v>30000</v>
      </c>
      <c r="F636" s="6">
        <v>0</v>
      </c>
      <c r="G636" s="6">
        <v>0</v>
      </c>
      <c r="H636" s="6">
        <v>30000</v>
      </c>
      <c r="I636" s="6">
        <v>0</v>
      </c>
      <c r="J636" s="6">
        <v>0</v>
      </c>
      <c r="K636" s="130">
        <v>33000</v>
      </c>
      <c r="L636" s="130">
        <v>33000</v>
      </c>
      <c r="M636" s="356">
        <f t="shared" si="115"/>
        <v>1</v>
      </c>
      <c r="N636" s="130">
        <f>L636</f>
        <v>33000</v>
      </c>
      <c r="O636" s="130">
        <v>0</v>
      </c>
      <c r="P636" s="354">
        <v>0</v>
      </c>
      <c r="Q636" s="354">
        <f>N636</f>
        <v>33000</v>
      </c>
      <c r="R636" s="356"/>
      <c r="S636" s="356"/>
      <c r="T636" s="492"/>
    </row>
    <row r="637" spans="1:20" s="167" customFormat="1" ht="15" customHeight="1">
      <c r="A637" s="508" t="s">
        <v>362</v>
      </c>
      <c r="B637" s="543"/>
      <c r="C637" s="327" t="s">
        <v>72</v>
      </c>
      <c r="D637" s="326" t="e">
        <f>#REF!</f>
        <v>#REF!</v>
      </c>
      <c r="E637" s="326" t="e">
        <f>E638+E639+#REF!</f>
        <v>#REF!</v>
      </c>
      <c r="F637" s="326" t="e">
        <f>F638+F639+#REF!</f>
        <v>#REF!</v>
      </c>
      <c r="G637" s="326" t="e">
        <f>G638+G639+#REF!</f>
        <v>#REF!</v>
      </c>
      <c r="H637" s="326" t="e">
        <f>H638+H639+#REF!</f>
        <v>#REF!</v>
      </c>
      <c r="I637" s="326" t="e">
        <f>I638+I639+#REF!</f>
        <v>#REF!</v>
      </c>
      <c r="J637" s="326" t="e">
        <f>J638+J639+#REF!</f>
        <v>#REF!</v>
      </c>
      <c r="K637" s="353">
        <f>SUM(K638:K639)</f>
        <v>7100</v>
      </c>
      <c r="L637" s="353">
        <f>SUM(L638:L639)</f>
        <v>7100</v>
      </c>
      <c r="M637" s="539">
        <f t="shared" si="115"/>
        <v>1</v>
      </c>
      <c r="N637" s="353">
        <f aca="true" t="shared" si="124" ref="N637:T637">SUM(N638:N639)</f>
        <v>7100</v>
      </c>
      <c r="O637" s="353">
        <f t="shared" si="124"/>
        <v>0</v>
      </c>
      <c r="P637" s="353">
        <f t="shared" si="124"/>
        <v>0</v>
      </c>
      <c r="Q637" s="353">
        <f t="shared" si="124"/>
        <v>0</v>
      </c>
      <c r="R637" s="353">
        <f t="shared" si="124"/>
        <v>0</v>
      </c>
      <c r="S637" s="353">
        <f t="shared" si="124"/>
        <v>0</v>
      </c>
      <c r="T637" s="491">
        <f t="shared" si="124"/>
        <v>0</v>
      </c>
    </row>
    <row r="638" spans="1:20" s="167" customFormat="1" ht="18" customHeight="1">
      <c r="A638" s="526"/>
      <c r="B638" s="533" t="s">
        <v>10</v>
      </c>
      <c r="C638" s="129" t="s">
        <v>37</v>
      </c>
      <c r="D638" s="14"/>
      <c r="E638" s="14">
        <v>10760</v>
      </c>
      <c r="F638" s="14">
        <v>0</v>
      </c>
      <c r="G638" s="14">
        <v>0</v>
      </c>
      <c r="H638" s="6">
        <v>3570</v>
      </c>
      <c r="I638" s="6">
        <v>0</v>
      </c>
      <c r="J638" s="6">
        <v>0</v>
      </c>
      <c r="K638" s="130">
        <v>5800</v>
      </c>
      <c r="L638" s="130">
        <v>5800</v>
      </c>
      <c r="M638" s="356">
        <f t="shared" si="115"/>
        <v>1</v>
      </c>
      <c r="N638" s="130">
        <f>L638</f>
        <v>5800</v>
      </c>
      <c r="O638" s="130">
        <v>0</v>
      </c>
      <c r="P638" s="354">
        <v>0</v>
      </c>
      <c r="Q638" s="354">
        <v>0</v>
      </c>
      <c r="R638" s="356"/>
      <c r="S638" s="356"/>
      <c r="T638" s="492"/>
    </row>
    <row r="639" spans="1:20" s="167" customFormat="1" ht="16.5" customHeight="1">
      <c r="A639" s="526"/>
      <c r="B639" s="533" t="s">
        <v>16</v>
      </c>
      <c r="C639" s="129" t="s">
        <v>17</v>
      </c>
      <c r="D639" s="14"/>
      <c r="E639" s="14">
        <v>4000</v>
      </c>
      <c r="F639" s="14">
        <v>0</v>
      </c>
      <c r="G639" s="14">
        <v>0</v>
      </c>
      <c r="H639" s="6">
        <v>1480</v>
      </c>
      <c r="I639" s="6">
        <v>0</v>
      </c>
      <c r="J639" s="6">
        <v>0</v>
      </c>
      <c r="K639" s="130">
        <v>1300</v>
      </c>
      <c r="L639" s="130">
        <v>1300</v>
      </c>
      <c r="M639" s="356">
        <f t="shared" si="115"/>
        <v>1</v>
      </c>
      <c r="N639" s="130">
        <f>L639</f>
        <v>1300</v>
      </c>
      <c r="O639" s="130">
        <v>0</v>
      </c>
      <c r="P639" s="354">
        <v>0</v>
      </c>
      <c r="Q639" s="354">
        <v>0</v>
      </c>
      <c r="R639" s="356"/>
      <c r="S639" s="356"/>
      <c r="T639" s="492"/>
    </row>
    <row r="640" spans="1:20" s="167" customFormat="1" ht="18.75" customHeight="1">
      <c r="A640" s="511" t="s">
        <v>363</v>
      </c>
      <c r="B640" s="531"/>
      <c r="C640" s="215" t="s">
        <v>364</v>
      </c>
      <c r="D640" s="201" t="e">
        <f>#REF!+D641</f>
        <v>#REF!</v>
      </c>
      <c r="E640" s="201" t="e">
        <f>#REF!+E641</f>
        <v>#REF!</v>
      </c>
      <c r="F640" s="201" t="e">
        <f aca="true" t="shared" si="125" ref="F640:T640">F641</f>
        <v>#REF!</v>
      </c>
      <c r="G640" s="201" t="e">
        <f t="shared" si="125"/>
        <v>#REF!</v>
      </c>
      <c r="H640" s="201">
        <f t="shared" si="125"/>
        <v>16000</v>
      </c>
      <c r="I640" s="201">
        <f t="shared" si="125"/>
        <v>0</v>
      </c>
      <c r="J640" s="201">
        <f t="shared" si="125"/>
        <v>0</v>
      </c>
      <c r="K640" s="357">
        <f t="shared" si="125"/>
        <v>16000</v>
      </c>
      <c r="L640" s="357">
        <f t="shared" si="125"/>
        <v>16000</v>
      </c>
      <c r="M640" s="359">
        <f t="shared" si="115"/>
        <v>1</v>
      </c>
      <c r="N640" s="357">
        <f t="shared" si="125"/>
        <v>16000</v>
      </c>
      <c r="O640" s="357">
        <f t="shared" si="125"/>
        <v>0</v>
      </c>
      <c r="P640" s="357">
        <f t="shared" si="125"/>
        <v>0</v>
      </c>
      <c r="Q640" s="357">
        <f t="shared" si="125"/>
        <v>16000</v>
      </c>
      <c r="R640" s="357">
        <f t="shared" si="125"/>
        <v>0</v>
      </c>
      <c r="S640" s="357">
        <f t="shared" si="125"/>
        <v>0</v>
      </c>
      <c r="T640" s="493">
        <f t="shared" si="125"/>
        <v>0</v>
      </c>
    </row>
    <row r="641" spans="1:20" s="167" customFormat="1" ht="18.75" customHeight="1">
      <c r="A641" s="508" t="s">
        <v>365</v>
      </c>
      <c r="B641" s="530"/>
      <c r="C641" s="327" t="s">
        <v>72</v>
      </c>
      <c r="D641" s="326" t="e">
        <f>#REF!</f>
        <v>#REF!</v>
      </c>
      <c r="E641" s="326" t="e">
        <f>#REF!+E642</f>
        <v>#REF!</v>
      </c>
      <c r="F641" s="326" t="e">
        <f>#REF!+F642</f>
        <v>#REF!</v>
      </c>
      <c r="G641" s="326" t="e">
        <f>#REF!+G642</f>
        <v>#REF!</v>
      </c>
      <c r="H641" s="326">
        <f aca="true" t="shared" si="126" ref="H641:T641">H642</f>
        <v>16000</v>
      </c>
      <c r="I641" s="326">
        <f t="shared" si="126"/>
        <v>0</v>
      </c>
      <c r="J641" s="326">
        <f t="shared" si="126"/>
        <v>0</v>
      </c>
      <c r="K641" s="353">
        <f t="shared" si="126"/>
        <v>16000</v>
      </c>
      <c r="L641" s="353">
        <f t="shared" si="126"/>
        <v>16000</v>
      </c>
      <c r="M641" s="539">
        <f>L641/K641</f>
        <v>1</v>
      </c>
      <c r="N641" s="353">
        <f t="shared" si="126"/>
        <v>16000</v>
      </c>
      <c r="O641" s="353">
        <f t="shared" si="126"/>
        <v>0</v>
      </c>
      <c r="P641" s="353">
        <f t="shared" si="126"/>
        <v>0</v>
      </c>
      <c r="Q641" s="353">
        <f t="shared" si="126"/>
        <v>16000</v>
      </c>
      <c r="R641" s="353">
        <f t="shared" si="126"/>
        <v>0</v>
      </c>
      <c r="S641" s="353">
        <f t="shared" si="126"/>
        <v>0</v>
      </c>
      <c r="T641" s="491">
        <f t="shared" si="126"/>
        <v>0</v>
      </c>
    </row>
    <row r="642" spans="1:20" s="167" customFormat="1" ht="33.75" customHeight="1">
      <c r="A642" s="526"/>
      <c r="B642" s="147" t="s">
        <v>341</v>
      </c>
      <c r="C642" s="129" t="s">
        <v>406</v>
      </c>
      <c r="D642" s="14"/>
      <c r="E642" s="14">
        <v>14200</v>
      </c>
      <c r="F642" s="14">
        <v>0</v>
      </c>
      <c r="G642" s="14">
        <v>0</v>
      </c>
      <c r="H642" s="14">
        <v>16000</v>
      </c>
      <c r="I642" s="14">
        <v>0</v>
      </c>
      <c r="J642" s="14">
        <v>0</v>
      </c>
      <c r="K642" s="130">
        <v>16000</v>
      </c>
      <c r="L642" s="130">
        <v>16000</v>
      </c>
      <c r="M642" s="356">
        <f t="shared" si="115"/>
        <v>1</v>
      </c>
      <c r="N642" s="130">
        <f>L642</f>
        <v>16000</v>
      </c>
      <c r="O642" s="130">
        <v>0</v>
      </c>
      <c r="P642" s="354"/>
      <c r="Q642" s="355">
        <f>N642</f>
        <v>16000</v>
      </c>
      <c r="R642" s="356"/>
      <c r="S642" s="356"/>
      <c r="T642" s="492"/>
    </row>
    <row r="643" spans="1:20" s="167" customFormat="1" ht="27.75" customHeight="1" thickBot="1">
      <c r="A643" s="537"/>
      <c r="B643" s="538"/>
      <c r="C643" s="500" t="s">
        <v>366</v>
      </c>
      <c r="D643" s="501" t="e">
        <f>#REF!+#REF!+D20+D49+D59+D83+D159+D190+D197+D201+D382+D402+D549+D634+D640</f>
        <v>#REF!</v>
      </c>
      <c r="E643" s="501" t="e">
        <f>#REF!+#REF!+E20+E49+E59+E83+E159+E190+E197+E201+E382+E402+E549+E634+E640</f>
        <v>#REF!</v>
      </c>
      <c r="F643" s="501" t="e">
        <f>F640+F634+F549+F402+F382+F201+F197+F190+F159+F83+F59+F49+F20+#REF!+#REF!</f>
        <v>#REF!</v>
      </c>
      <c r="G643" s="501" t="e">
        <f>G640+G634+G549+G402+G382+G201+G197+G190+G159+G83+G59+G49+G20+#REF!+#REF!</f>
        <v>#REF!</v>
      </c>
      <c r="H643" s="501" t="e">
        <f>H640+H634+H549+H402+H382+H201+H197+H190+H159+H152+H83+H59+H49+H20+#REF!+#REF!+#REF!</f>
        <v>#REF!</v>
      </c>
      <c r="I643" s="501" t="e">
        <f>I640+I634+I549+I402+I382+I201+I197+I190+I159+I152+I83+I59+I49+I20+#REF!+#REF!+#REF!</f>
        <v>#REF!</v>
      </c>
      <c r="J643" s="501" t="e">
        <f>J640+J634+J549+J402+J382+J201+J197+J190+J159+J152+J83+J59+J49+J20+#REF!+#REF!+#REF!</f>
        <v>#REF!</v>
      </c>
      <c r="K643" s="502">
        <f>K9+K14+K20+K49+K59+K83+K152+K159+K190+K197+K201+K364+K382+K402+K506+K549+K634+K640</f>
        <v>34613874</v>
      </c>
      <c r="L643" s="502">
        <f>L9+L14+L20+L49+L59+L83+L152+L159+L190+L197+L201+L364+L382+L402+L506+L549+L634+L640</f>
        <v>34215982</v>
      </c>
      <c r="M643" s="503">
        <f t="shared" si="115"/>
        <v>0.9885048405734649</v>
      </c>
      <c r="N643" s="502">
        <f aca="true" t="shared" si="127" ref="N643:T643">N9+N14+N20+N49+N59+N83+N152+N159+N190+N197+N201+N364+N382+N402+N506+N549+N634+N640</f>
        <v>27272812</v>
      </c>
      <c r="O643" s="502">
        <f t="shared" si="127"/>
        <v>14040176</v>
      </c>
      <c r="P643" s="502">
        <f t="shared" si="127"/>
        <v>2106778</v>
      </c>
      <c r="Q643" s="502">
        <f t="shared" si="127"/>
        <v>1936540</v>
      </c>
      <c r="R643" s="502">
        <f t="shared" si="127"/>
        <v>535200</v>
      </c>
      <c r="S643" s="502">
        <f t="shared" si="127"/>
        <v>196326</v>
      </c>
      <c r="T643" s="504">
        <f t="shared" si="127"/>
        <v>6943170</v>
      </c>
    </row>
    <row r="644" spans="5:14" s="167" customFormat="1" ht="12.75">
      <c r="E644" s="611"/>
      <c r="F644" s="611"/>
      <c r="G644" s="611"/>
      <c r="H644" s="611"/>
      <c r="I644" s="611"/>
      <c r="J644" s="197"/>
      <c r="K644" s="611"/>
      <c r="L644" s="611"/>
      <c r="M644" s="611"/>
      <c r="N644" s="611"/>
    </row>
    <row r="645" spans="10:18" s="167" customFormat="1" ht="12.75">
      <c r="J645" s="197"/>
      <c r="O645" s="639" t="s">
        <v>899</v>
      </c>
      <c r="P645" s="639"/>
      <c r="Q645" s="639"/>
      <c r="R645" s="639"/>
    </row>
    <row r="646" s="167" customFormat="1" ht="12.75">
      <c r="J646" s="197"/>
    </row>
    <row r="647" s="167" customFormat="1" ht="12.75"/>
    <row r="648" spans="1:20" s="167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spans="1:20" s="167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spans="1:20" s="167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spans="1:20" s="167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spans="1:20" s="167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spans="1:20" s="167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spans="1:20" s="167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spans="1:20" s="167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spans="1:20" s="167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spans="1:20" s="167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spans="1:20" s="167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spans="1:20" s="167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spans="1:20" s="167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spans="1:20" s="167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spans="1:20" s="167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spans="1:20" s="167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spans="1:20" s="167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spans="1:20" s="167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spans="1:20" s="167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</row>
    <row r="667" spans="1:20" s="167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</row>
    <row r="668" spans="1:20" s="167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</row>
    <row r="669" spans="1:20" s="167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spans="1:20" s="167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spans="1:20" s="167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spans="1:20" s="167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spans="1:20" s="167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spans="1:20" s="167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spans="1:20" s="167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spans="1:20" s="167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spans="1:20" s="167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spans="1:20" s="167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spans="1:20" s="167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spans="1:20" s="167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spans="1:20" s="167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spans="1:20" s="167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spans="1:20" s="167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spans="1:20" s="167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spans="1:20" s="167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spans="1:20" s="167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spans="1:20" s="167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spans="1:20" s="167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spans="1:20" s="167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spans="1:20" s="167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spans="1:20" s="167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spans="1:20" s="167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spans="1:20" s="167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spans="1:20" s="167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spans="1:20" s="167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spans="1:20" s="167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spans="1:20" s="167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spans="1:20" s="167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spans="1:20" s="167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spans="1:20" s="167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spans="1:20" s="167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spans="1:20" s="167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spans="1:20" s="167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spans="1:20" s="167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spans="1:20" s="167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spans="1:20" s="167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spans="1:20" s="167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spans="1:20" s="167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spans="1:20" s="167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spans="1:20" s="167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spans="1:20" s="167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spans="1:20" s="167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spans="1:20" s="167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spans="1:20" s="167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spans="1:20" s="167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spans="1:20" s="167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spans="1:20" s="167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spans="1:20" s="167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spans="1:20" s="167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spans="1:20" s="167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spans="1:20" s="167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spans="1:20" s="167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spans="1:20" s="167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spans="1:20" s="167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spans="1:20" s="167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spans="1:20" s="167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spans="1:20" s="167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spans="1:20" s="167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spans="1:20" s="167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spans="1:20" s="167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spans="1:20" s="167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spans="1:20" s="167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spans="1:20" s="167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spans="1:20" s="167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spans="1:20" s="167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spans="1:20" s="167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spans="1:20" s="167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spans="1:20" s="167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spans="1:20" s="167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spans="1:20" s="167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spans="1:20" s="167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spans="1:20" s="167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spans="1:20" s="167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spans="1:20" s="167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spans="1:20" s="167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spans="1:20" s="167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spans="1:20" s="167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spans="1:20" s="167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spans="1:20" s="167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spans="1:20" s="167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spans="1:20" s="167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spans="1:20" s="167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spans="1:20" s="167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spans="1:20" s="167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spans="1:20" s="167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spans="1:20" s="167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spans="1:20" s="167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spans="1:20" s="167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spans="1:20" s="167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spans="1:20" s="167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spans="1:20" s="167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spans="1:20" s="167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spans="1:20" s="167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spans="1:20" s="167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spans="1:20" s="167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spans="1:20" s="167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spans="1:20" s="167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spans="1:20" s="167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spans="1:20" s="167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spans="1:20" s="167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spans="1:20" s="167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spans="1:20" s="167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spans="1:20" s="167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spans="1:20" s="167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spans="1:20" s="167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spans="1:20" s="167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spans="1:20" s="167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spans="1:20" s="167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spans="1:20" s="167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spans="1:20" s="167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spans="1:20" s="167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spans="1:20" s="167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spans="1:20" s="167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spans="1:20" s="167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spans="1:20" s="167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spans="1:20" s="167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spans="1:20" s="167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spans="1:20" s="167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spans="1:20" s="167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spans="1:20" s="167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spans="1:20" s="167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spans="1:20" s="167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spans="1:20" s="167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spans="1:20" s="167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spans="1:20" s="167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spans="1:20" s="167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spans="1:20" s="167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spans="1:20" s="167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spans="1:20" s="167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spans="1:20" s="167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spans="1:20" s="167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spans="1:20" s="167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spans="1:20" s="167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spans="1:20" s="167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spans="1:20" s="167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spans="1:20" s="167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spans="1:20" s="167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spans="1:20" s="167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spans="1:20" s="167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spans="1:20" s="167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spans="1:20" s="167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spans="1:20" s="167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spans="1:20" s="167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spans="1:20" s="167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spans="1:20" s="167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spans="1:20" s="167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spans="1:20" s="167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spans="1:20" s="167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spans="1:20" s="167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spans="1:20" s="167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spans="1:20" s="167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spans="1:20" s="167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spans="1:20" s="167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spans="1:20" s="167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spans="1:20" s="167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spans="1:20" s="167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spans="1:20" s="167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spans="1:20" s="167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spans="1:20" s="167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spans="1:20" s="167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spans="1:20" s="167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spans="1:20" s="167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spans="1:20" s="167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spans="1:20" s="167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spans="1:20" s="167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spans="1:20" s="167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spans="1:20" s="167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spans="1:20" s="167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spans="1:20" s="167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spans="1:20" s="167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spans="1:20" s="167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spans="1:20" s="167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spans="1:20" s="167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spans="1:20" s="167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spans="1:20" s="167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spans="1:20" s="167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s="167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s="167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s="167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s="167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s="167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s="167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s="167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s="167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s="167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s="167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s="167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s="167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s="167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s="167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s="167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s="167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s="167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s="167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s="167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s="167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 s="167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spans="1:20" s="167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spans="1:20" s="167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spans="1:20" s="167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spans="1:20" s="167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spans="1:20" s="167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spans="1:20" s="167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spans="1:20" s="167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spans="1:20" s="167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spans="1:20" s="167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spans="1:20" s="167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spans="1:20" s="167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spans="1:20" s="167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spans="1:20" s="167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spans="1:20" s="167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spans="1:20" s="167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spans="1:20" s="167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spans="1:20" s="167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spans="1:20" s="167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spans="1:20" s="167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spans="1:20" s="167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spans="1:20" s="167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spans="1:20" s="167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spans="1:20" s="167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spans="1:20" s="167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spans="1:20" s="167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spans="1:20" s="167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spans="1:20" s="167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spans="1:20" s="167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spans="1:20" s="167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spans="1:20" s="167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spans="1:20" s="167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spans="1:20" s="167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spans="1:20" s="167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spans="1:20" s="167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spans="1:20" s="167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spans="1:20" s="167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spans="1:20" s="167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spans="1:20" s="167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spans="1:20" s="167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spans="1:20" s="167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spans="1:20" s="167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spans="1:20" s="167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spans="1:20" s="167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spans="1:20" s="167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spans="1:20" s="167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spans="1:20" s="167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spans="1:20" s="167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spans="1:20" s="167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spans="1:20" s="167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spans="1:20" s="167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spans="1:20" s="167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spans="1:20" s="167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spans="1:20" s="167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spans="1:20" s="167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spans="1:20" s="167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spans="1:20" s="167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spans="1:20" s="167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spans="1:20" s="167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spans="1:20" s="167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spans="1:20" s="167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spans="1:20" s="167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spans="1:20" s="167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spans="1:20" s="167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spans="1:20" s="167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spans="1:20" s="167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spans="1:20" s="167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spans="1:20" s="167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spans="1:20" s="167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spans="1:20" s="167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spans="1:20" s="167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spans="1:20" s="167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spans="1:20" s="167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spans="1:20" s="167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spans="1:20" s="167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spans="1:20" s="167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spans="1:20" s="167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spans="1:20" s="167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spans="1:20" s="167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spans="1:20" s="167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spans="1:20" s="167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spans="1:20" s="167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spans="1:20" s="167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spans="1:20" s="167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spans="1:20" s="167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spans="1:20" s="167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spans="1:20" s="167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spans="1:20" s="167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spans="1:20" s="167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spans="1:20" s="167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spans="1:20" s="167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spans="1:20" s="167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spans="1:20" s="167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spans="1:20" s="167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spans="1:20" s="167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spans="1:20" s="167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spans="1:20" s="167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spans="1:20" s="167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spans="1:20" s="167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spans="1:20" s="167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spans="1:20" s="167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spans="1:20" s="167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spans="1:20" s="167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spans="1:20" s="167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spans="1:20" s="167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spans="1:20" s="167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spans="1:20" s="167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spans="1:20" s="167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spans="1:20" s="167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spans="1:20" s="167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spans="1:20" s="167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spans="1:20" s="167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spans="1:20" s="167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spans="1:20" s="167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spans="1:20" s="167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spans="1:20" s="167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spans="1:20" s="167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spans="1:20" s="167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spans="1:20" s="167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spans="1:20" s="167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spans="1:20" s="167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</row>
    <row r="988" spans="1:20" s="167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</row>
    <row r="989" spans="1:20" s="167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</row>
    <row r="990" spans="1:20" s="167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</row>
    <row r="991" spans="1:20" s="167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</row>
    <row r="992" spans="1:20" s="167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</row>
    <row r="993" spans="1:20" s="167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</row>
    <row r="994" spans="1:20" s="167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</row>
    <row r="995" spans="1:20" s="167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</row>
    <row r="996" spans="1:20" s="167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</row>
    <row r="997" spans="1:20" s="167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</row>
    <row r="998" spans="1:20" s="167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</row>
    <row r="999" spans="1:20" s="167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</row>
    <row r="1000" spans="1:20" s="167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</row>
    <row r="1001" spans="1:20" s="167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</row>
    <row r="1002" spans="1:20" s="167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</row>
    <row r="1003" spans="1:20" s="167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</row>
    <row r="1004" spans="1:20" s="167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</row>
    <row r="1005" spans="1:20" s="167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</row>
    <row r="1006" spans="1:20" s="167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</row>
    <row r="1007" spans="1:20" s="167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</row>
    <row r="1008" spans="1:20" s="167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</row>
    <row r="1009" spans="1:20" s="167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</row>
    <row r="1010" spans="1:20" s="167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</row>
    <row r="1011" spans="1:20" s="167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</row>
    <row r="1012" spans="1:20" s="167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</row>
    <row r="1013" spans="1:20" s="167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</row>
    <row r="1014" spans="1:20" s="167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</row>
    <row r="1015" spans="1:20" s="167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</row>
    <row r="1016" spans="1:20" s="167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</row>
    <row r="1017" spans="1:20" s="167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</row>
    <row r="1018" spans="1:20" s="167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</row>
    <row r="1019" spans="1:20" s="167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</row>
    <row r="1020" spans="1:20" s="167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</row>
    <row r="1021" spans="1:20" s="167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</row>
    <row r="1022" spans="1:20" s="167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</row>
    <row r="1023" spans="1:20" s="167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</row>
    <row r="1024" spans="1:20" s="167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</row>
    <row r="1025" spans="1:20" s="167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</row>
    <row r="1026" spans="1:20" s="167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</row>
    <row r="1027" spans="1:20" s="167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</row>
    <row r="1028" spans="1:20" s="167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</row>
    <row r="1029" spans="1:20" s="167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</row>
    <row r="1030" spans="1:20" s="167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</row>
    <row r="1031" spans="1:20" s="167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</row>
    <row r="1032" spans="1:20" s="167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</row>
    <row r="1033" spans="1:20" s="167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</row>
    <row r="1034" spans="1:20" s="167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</row>
    <row r="1035" spans="1:20" s="167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</row>
    <row r="1036" spans="1:20" s="167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</row>
    <row r="1037" spans="1:20" s="167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</row>
    <row r="1038" spans="1:20" s="167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</row>
    <row r="1039" spans="1:20" s="167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</row>
    <row r="1040" spans="1:20" s="167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</row>
    <row r="1041" spans="1:20" s="167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</row>
    <row r="1042" spans="1:20" s="167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</row>
    <row r="1043" spans="1:20" s="167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</row>
    <row r="1044" spans="1:20" s="167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</row>
    <row r="1045" spans="1:20" s="167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</row>
    <row r="1046" spans="1:20" s="167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</row>
    <row r="1047" spans="1:20" s="167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</row>
    <row r="1048" spans="1:20" s="167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</row>
    <row r="1049" spans="1:20" s="167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</row>
    <row r="1050" spans="1:20" s="167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</row>
    <row r="1051" spans="1:20" s="167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</row>
    <row r="1052" spans="1:20" s="167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</row>
    <row r="1053" spans="1:20" s="167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</row>
    <row r="1054" spans="1:20" s="167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</row>
    <row r="1055" spans="1:20" s="167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</row>
    <row r="1056" spans="1:20" s="167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</row>
    <row r="1057" spans="1:20" s="167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</row>
    <row r="1058" spans="1:20" s="167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</row>
    <row r="1059" spans="1:20" s="167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</row>
    <row r="1060" spans="1:20" s="167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</row>
    <row r="1061" spans="1:20" s="167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</row>
    <row r="1062" spans="1:20" s="167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</row>
    <row r="1063" spans="1:20" s="167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</row>
    <row r="1064" spans="1:20" s="167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</row>
    <row r="1065" spans="1:20" s="167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</row>
    <row r="1066" spans="1:20" s="167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</row>
    <row r="1067" spans="1:20" s="167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</row>
    <row r="1068" spans="1:20" s="167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</row>
    <row r="1069" spans="1:20" s="167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</row>
    <row r="1070" spans="1:20" s="167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</row>
    <row r="1071" spans="1:20" s="167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</row>
    <row r="1072" spans="1:20" s="167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</row>
    <row r="1073" spans="1:20" s="167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</row>
    <row r="1074" spans="1:20" s="167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</row>
    <row r="1075" spans="1:20" s="167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</row>
    <row r="1076" spans="1:20" s="167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</row>
    <row r="1077" spans="1:20" s="167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</row>
    <row r="1078" spans="1:20" s="167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</row>
    <row r="1079" spans="1:20" s="167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</row>
    <row r="1080" spans="1:20" s="167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</row>
    <row r="1081" spans="1:20" s="167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</row>
    <row r="1082" spans="1:20" s="167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</row>
    <row r="1083" spans="1:20" s="167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</row>
    <row r="1084" spans="1:20" s="167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</row>
    <row r="1085" spans="1:20" s="167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</row>
    <row r="1086" spans="1:20" s="167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</row>
    <row r="1087" spans="1:20" s="167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</row>
    <row r="1088" spans="1:20" s="167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</row>
    <row r="1089" spans="1:20" s="167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</row>
    <row r="1090" spans="1:20" s="167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</row>
    <row r="1091" spans="1:20" s="167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</row>
    <row r="1092" spans="1:20" s="167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</row>
    <row r="1093" spans="1:20" s="167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</row>
    <row r="1094" spans="1:20" s="167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</row>
    <row r="1095" spans="1:20" s="167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</row>
    <row r="1096" spans="1:20" s="167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</row>
    <row r="1097" spans="1:20" s="167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</row>
    <row r="1098" spans="1:20" s="167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</row>
    <row r="1099" spans="1:20" s="167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</row>
    <row r="1100" spans="1:20" s="167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</row>
    <row r="1101" spans="1:20" s="167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</row>
    <row r="1102" spans="1:20" s="167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</row>
    <row r="1103" spans="1:20" s="167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</row>
    <row r="1104" spans="1:20" s="167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</row>
    <row r="1105" spans="1:20" s="167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</row>
    <row r="1106" spans="1:20" s="167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</row>
    <row r="1107" spans="1:20" s="167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</row>
    <row r="1108" spans="1:20" s="167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</row>
    <row r="1109" spans="1:20" s="167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</row>
    <row r="1110" spans="1:20" s="167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</row>
    <row r="1111" spans="1:20" s="167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</row>
    <row r="1112" spans="1:20" s="167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</row>
    <row r="1113" spans="1:20" s="167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</row>
    <row r="1114" spans="1:20" s="167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</row>
    <row r="1115" spans="1:20" s="167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</row>
    <row r="1116" spans="1:20" s="167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</row>
    <row r="1117" spans="1:20" s="167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</row>
    <row r="1118" spans="1:20" s="167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</row>
    <row r="1119" spans="1:20" s="167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</row>
    <row r="1120" spans="1:20" s="167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</row>
    <row r="1121" spans="1:20" s="167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</row>
    <row r="1122" spans="1:20" s="167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</row>
    <row r="1123" spans="1:20" s="167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</row>
    <row r="1124" spans="1:20" s="167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</row>
    <row r="1125" spans="1:20" s="167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</row>
    <row r="1126" spans="1:20" s="167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</row>
    <row r="1127" spans="1:20" s="167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</row>
    <row r="1128" spans="1:20" s="167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</row>
    <row r="1129" spans="1:20" s="167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</row>
    <row r="1130" spans="1:20" s="167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</row>
    <row r="1131" spans="1:20" s="167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</row>
    <row r="1132" spans="1:20" s="167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</row>
    <row r="1133" spans="1:20" s="167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</row>
    <row r="1134" spans="1:20" s="167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</row>
    <row r="1135" spans="1:20" s="167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</row>
    <row r="1136" spans="1:20" s="167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</row>
    <row r="1137" spans="1:20" s="167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</row>
    <row r="1138" spans="1:20" s="167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</row>
    <row r="1139" spans="1:20" s="167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</row>
    <row r="1140" spans="1:20" s="167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</row>
    <row r="1141" spans="1:20" s="167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</row>
    <row r="1142" spans="1:20" s="167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</row>
    <row r="1143" spans="1:20" s="167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</row>
    <row r="1144" spans="1:20" s="167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</row>
    <row r="1145" spans="1:20" s="167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</row>
    <row r="1146" spans="1:20" s="167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</row>
    <row r="1147" spans="1:20" s="167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</row>
    <row r="1148" spans="1:20" s="167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</row>
    <row r="1149" spans="1:20" s="167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</row>
    <row r="1150" spans="1:20" s="167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</row>
    <row r="1151" spans="1:20" s="167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</row>
    <row r="1152" spans="1:20" s="167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</row>
    <row r="1153" spans="1:20" s="167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</row>
    <row r="1154" spans="1:20" s="167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</row>
    <row r="1155" spans="1:20" s="167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</row>
    <row r="1156" spans="1:20" s="167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</row>
    <row r="1157" spans="1:20" s="167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</row>
    <row r="1158" spans="1:20" s="167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</row>
    <row r="1159" spans="1:20" s="167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</row>
    <row r="1160" spans="1:20" s="167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</row>
    <row r="1161" spans="1:20" s="167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</row>
    <row r="1162" spans="1:20" s="167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</row>
    <row r="1163" spans="1:20" s="167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</row>
    <row r="1164" spans="1:20" s="167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</row>
    <row r="1165" spans="1:20" s="167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</row>
    <row r="1166" spans="1:20" s="167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</row>
    <row r="1167" spans="1:20" s="167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</row>
    <row r="1168" spans="1:20" s="167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</row>
    <row r="1169" spans="1:20" s="167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</row>
    <row r="1170" spans="1:20" s="167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</row>
    <row r="1171" spans="1:20" s="167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</row>
    <row r="1172" spans="1:20" s="167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</row>
    <row r="1173" spans="1:20" s="167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</row>
    <row r="1174" spans="1:20" s="167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</row>
    <row r="1175" spans="1:20" s="167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</row>
    <row r="1176" spans="1:20" s="167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</row>
    <row r="1177" spans="1:20" s="167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</row>
    <row r="1178" spans="1:20" s="167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</row>
    <row r="1179" spans="1:20" s="167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</row>
    <row r="1180" spans="1:20" s="167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</row>
    <row r="1181" spans="1:20" s="167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</row>
    <row r="1182" spans="1:20" s="167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</row>
    <row r="1183" spans="1:20" s="167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</row>
    <row r="1184" spans="1:20" s="167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</row>
    <row r="1185" spans="1:20" s="167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</row>
    <row r="1186" spans="1:20" s="167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</row>
    <row r="1187" spans="1:20" s="167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</row>
    <row r="1188" spans="1:20" s="167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</row>
    <row r="1189" spans="1:20" s="167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</row>
    <row r="1190" spans="1:20" s="167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</row>
    <row r="1191" spans="1:20" s="167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</row>
    <row r="1192" spans="1:20" s="167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</row>
    <row r="1193" spans="1:20" s="167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</row>
    <row r="1194" spans="1:20" s="167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</row>
    <row r="1195" spans="1:20" s="167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</row>
    <row r="1196" spans="1:20" s="167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</row>
    <row r="1197" spans="1:20" s="167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</row>
    <row r="1198" spans="1:20" s="167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</row>
    <row r="1199" spans="1:20" s="167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</row>
    <row r="1200" spans="1:20" s="167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</row>
    <row r="1201" spans="1:20" s="167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</row>
    <row r="1202" spans="1:20" s="167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</row>
    <row r="1203" spans="1:20" s="167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</row>
    <row r="1204" spans="1:20" s="167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</row>
    <row r="1205" spans="1:20" s="167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</row>
    <row r="1206" spans="1:20" s="167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</row>
    <row r="1207" spans="1:20" s="167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</row>
    <row r="1208" spans="1:20" s="167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</row>
    <row r="1209" spans="1:20" s="167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</row>
    <row r="1210" spans="1:20" s="167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</row>
    <row r="1211" spans="1:20" s="167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</row>
    <row r="1212" spans="1:20" s="167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</row>
    <row r="1213" spans="1:20" s="167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</row>
    <row r="1214" spans="1:20" s="167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</row>
    <row r="1215" spans="1:20" s="167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</row>
    <row r="1216" spans="1:20" s="167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</row>
    <row r="1217" spans="1:20" s="167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</row>
    <row r="1218" spans="1:20" s="167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</row>
    <row r="1219" spans="1:20" s="167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</row>
    <row r="1220" spans="1:20" s="167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</row>
    <row r="1221" spans="1:20" s="167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</row>
    <row r="1222" spans="1:20" s="167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</row>
    <row r="1223" spans="1:20" s="167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</row>
    <row r="1224" spans="1:20" s="167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</row>
    <row r="1225" spans="1:20" s="167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</row>
    <row r="1226" spans="1:20" s="167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</row>
    <row r="1227" spans="1:20" s="167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</row>
    <row r="1228" spans="1:20" s="167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</row>
    <row r="1229" spans="1:20" s="167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</row>
    <row r="1230" spans="1:20" s="167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</row>
    <row r="1231" spans="1:20" s="167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</row>
    <row r="1232" spans="1:20" s="167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</row>
    <row r="1233" spans="1:20" s="167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</row>
    <row r="1234" spans="1:20" s="167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</row>
    <row r="1235" spans="1:20" s="167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</row>
    <row r="1236" spans="1:20" s="167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</row>
    <row r="1237" spans="1:20" s="167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</row>
    <row r="1238" spans="1:20" s="167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</row>
    <row r="1239" spans="1:20" s="167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</row>
    <row r="1240" spans="1:20" s="167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</row>
    <row r="1241" spans="1:20" s="167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</row>
    <row r="1242" spans="1:20" s="167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</row>
    <row r="1243" spans="1:20" s="167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</row>
    <row r="1244" spans="1:20" s="167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</row>
    <row r="1245" spans="1:20" s="167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</row>
    <row r="1246" spans="1:20" s="167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</row>
    <row r="1247" spans="1:20" s="167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</row>
    <row r="1248" spans="1:20" s="167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</row>
    <row r="1249" spans="1:20" s="167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</row>
    <row r="1250" spans="1:20" s="167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</row>
    <row r="1251" spans="1:20" s="167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</row>
    <row r="1252" spans="1:20" s="167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</row>
    <row r="1253" spans="1:20" s="167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</row>
    <row r="1254" spans="1:20" s="167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</row>
    <row r="1255" spans="1:20" s="167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</row>
    <row r="1256" spans="1:20" s="167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</row>
    <row r="1257" spans="1:20" s="167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</row>
    <row r="1258" spans="1:20" s="167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</row>
    <row r="1259" spans="1:20" s="167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20" s="167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</row>
    <row r="1261" spans="1:20" s="167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</row>
    <row r="1262" spans="1:20" s="167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</row>
    <row r="1263" spans="1:20" s="167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</row>
    <row r="1264" spans="1:20" s="167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</row>
    <row r="1265" spans="1:20" s="167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</row>
    <row r="1266" spans="1:20" s="167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</row>
    <row r="1267" spans="1:20" s="167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</row>
    <row r="1268" spans="1:20" s="167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</row>
    <row r="1269" spans="1:20" s="167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</row>
    <row r="1270" spans="1:20" s="167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</row>
    <row r="1271" spans="1:20" s="167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</row>
    <row r="1272" spans="1:20" s="167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</row>
    <row r="1273" spans="1:20" s="167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</row>
    <row r="1274" spans="1:20" s="167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</row>
    <row r="1275" spans="1:20" s="167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</row>
    <row r="1276" spans="1:20" s="167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</row>
    <row r="1277" spans="1:20" s="167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</row>
    <row r="1278" spans="1:20" s="167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</row>
    <row r="1279" spans="1:20" s="167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</row>
    <row r="1280" spans="1:20" s="167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</row>
    <row r="1281" spans="1:20" s="167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</row>
    <row r="1282" spans="1:20" s="167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</row>
    <row r="1283" spans="1:20" s="167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</row>
    <row r="1284" spans="1:20" s="167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</row>
    <row r="1285" spans="1:20" s="167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</row>
    <row r="1286" spans="1:20" s="167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</row>
    <row r="1287" spans="1:20" s="167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</row>
    <row r="1288" spans="1:20" s="167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</row>
    <row r="1289" spans="1:20" s="167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</row>
    <row r="1290" spans="1:20" s="167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</row>
    <row r="1291" spans="1:20" s="167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</row>
    <row r="1292" spans="1:20" s="167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</row>
    <row r="1293" spans="1:20" s="167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</row>
    <row r="1294" spans="1:20" s="167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</row>
    <row r="1295" spans="1:20" s="167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</row>
    <row r="1296" spans="1:20" s="167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</row>
    <row r="1297" spans="1:20" s="167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</row>
    <row r="1298" spans="1:20" s="167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</row>
    <row r="1299" spans="1:20" s="167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</row>
    <row r="1300" spans="1:20" s="167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</row>
    <row r="1301" spans="1:20" s="167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</row>
    <row r="1302" spans="1:20" s="167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</row>
    <row r="1303" spans="1:20" s="167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</row>
    <row r="1304" spans="1:20" s="167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</row>
    <row r="1305" spans="1:20" s="167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</row>
    <row r="1306" spans="1:20" s="167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</row>
    <row r="1307" spans="1:20" s="167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</row>
    <row r="1308" spans="1:20" s="167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</row>
    <row r="1309" spans="1:20" s="167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</row>
    <row r="1310" spans="1:20" s="167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</row>
    <row r="1311" spans="1:20" s="167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</row>
    <row r="1312" spans="1:20" s="167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</row>
    <row r="1313" spans="1:20" s="167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</row>
    <row r="1314" spans="1:20" s="167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</row>
    <row r="1315" spans="1:20" s="167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</row>
    <row r="1316" spans="1:20" s="167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</row>
    <row r="1317" spans="1:20" s="167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</row>
    <row r="1318" spans="1:20" s="167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</row>
    <row r="1319" spans="1:20" s="167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</row>
    <row r="1320" spans="1:20" s="167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</row>
    <row r="1321" spans="1:20" s="167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</row>
    <row r="1322" spans="1:20" s="167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</row>
    <row r="1323" spans="1:20" s="167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</row>
    <row r="1324" spans="1:20" s="167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</row>
    <row r="1325" spans="1:20" s="167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</row>
    <row r="1326" spans="1:20" s="167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</row>
    <row r="1327" spans="1:20" s="167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</row>
    <row r="1328" spans="1:20" s="167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</row>
    <row r="1329" spans="1:20" s="167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</row>
    <row r="1330" spans="1:20" s="167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</row>
    <row r="1331" spans="1:20" s="167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</row>
    <row r="1332" spans="1:20" s="167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</row>
    <row r="1333" spans="1:20" s="167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</row>
    <row r="1334" spans="1:20" s="167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</row>
    <row r="1335" spans="1:20" s="167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</row>
    <row r="1336" spans="1:20" s="167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</row>
    <row r="1337" spans="1:20" s="167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</row>
    <row r="1338" spans="1:20" s="167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</row>
    <row r="1339" spans="1:20" s="167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</row>
    <row r="1340" spans="1:20" s="167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</row>
    <row r="1341" spans="1:20" s="167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</row>
    <row r="1342" spans="1:20" s="167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</row>
    <row r="1343" spans="1:20" s="167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</row>
    <row r="1344" spans="1:20" s="167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</row>
    <row r="1345" spans="1:20" s="167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</row>
    <row r="1346" spans="1:20" s="167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</row>
    <row r="1347" spans="1:20" s="167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</row>
    <row r="1348" spans="1:20" s="167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</row>
    <row r="1349" spans="1:20" s="167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</row>
    <row r="1350" spans="1:20" s="167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</row>
    <row r="1351" spans="1:20" s="167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</row>
    <row r="1352" spans="1:20" s="167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</row>
    <row r="1353" spans="1:20" s="167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</row>
    <row r="1354" spans="1:20" s="167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</row>
    <row r="1355" spans="1:20" s="167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</row>
    <row r="1356" spans="1:20" s="167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</row>
    <row r="1357" spans="1:20" s="167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</row>
    <row r="1358" spans="1:20" s="167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</row>
    <row r="1359" spans="1:20" s="167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</row>
    <row r="1360" spans="1:20" s="167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</row>
    <row r="1361" spans="1:20" s="167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</row>
    <row r="1362" spans="1:20" s="167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</row>
    <row r="1363" spans="1:20" s="167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</row>
    <row r="1364" spans="1:20" s="167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</row>
    <row r="1365" spans="1:20" s="167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</row>
    <row r="1366" spans="1:20" s="167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</row>
    <row r="1367" spans="1:20" s="167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</row>
    <row r="1368" spans="1:20" s="167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</row>
    <row r="1369" spans="1:20" s="167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</row>
    <row r="1370" spans="1:20" s="167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</row>
    <row r="1371" spans="1:20" s="167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</row>
    <row r="1372" spans="1:20" s="167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</row>
    <row r="1373" spans="1:20" s="167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</row>
    <row r="1374" spans="1:20" s="167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</row>
    <row r="1375" spans="1:20" s="167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</row>
    <row r="1376" spans="1:20" s="167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</row>
    <row r="1377" spans="1:20" s="167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</row>
    <row r="1378" spans="1:20" s="167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</row>
    <row r="1379" spans="1:20" s="167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</row>
    <row r="1380" spans="1:20" s="167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</row>
    <row r="1381" spans="1:20" s="167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</row>
    <row r="1382" spans="1:20" s="167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</row>
    <row r="1383" spans="1:20" s="167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</row>
    <row r="1384" spans="1:20" s="167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</row>
    <row r="1385" spans="1:20" s="167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</row>
    <row r="1386" spans="1:20" s="167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</row>
    <row r="1387" spans="1:20" s="167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</row>
    <row r="1388" spans="1:20" s="167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</row>
    <row r="1389" spans="1:20" s="167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</row>
    <row r="1390" spans="1:20" s="167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</row>
    <row r="1391" spans="1:20" s="167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</row>
    <row r="1392" spans="1:20" s="167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</row>
    <row r="1393" spans="1:20" s="167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</row>
    <row r="1394" spans="1:20" s="167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</row>
    <row r="1395" spans="1:20" s="167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</row>
    <row r="1396" spans="1:20" s="167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</row>
    <row r="1397" spans="1:20" s="167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</row>
    <row r="1398" spans="1:20" s="167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</row>
    <row r="1399" spans="1:20" s="167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</row>
    <row r="1400" spans="1:20" s="167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</row>
    <row r="1401" spans="1:20" s="167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</row>
    <row r="1402" spans="1:20" s="167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</row>
    <row r="1403" spans="1:20" s="167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</row>
    <row r="1404" spans="1:20" s="167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</row>
    <row r="1405" spans="1:20" s="167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</row>
    <row r="1406" spans="1:20" s="167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</row>
    <row r="1407" spans="1:20" s="167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</row>
    <row r="1408" spans="1:20" s="167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</row>
    <row r="1409" spans="1:20" s="167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</row>
    <row r="1410" spans="1:20" s="167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</row>
    <row r="1411" spans="1:20" s="167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</row>
    <row r="1412" spans="1:20" s="167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</row>
    <row r="1413" spans="1:20" s="167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</row>
    <row r="1414" spans="1:20" s="167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</row>
    <row r="1415" spans="1:20" s="167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</row>
    <row r="1416" spans="1:20" s="167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</row>
    <row r="1417" spans="1:20" s="167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</row>
    <row r="1418" spans="1:20" s="167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</row>
    <row r="1419" spans="1:20" s="167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</row>
    <row r="1420" spans="1:20" s="167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</row>
    <row r="1421" spans="1:20" s="167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</row>
    <row r="1422" spans="1:20" s="167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</row>
    <row r="1423" spans="1:20" s="167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</row>
    <row r="1424" spans="1:20" s="167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</row>
    <row r="1425" spans="1:20" s="167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</row>
    <row r="1426" spans="1:20" s="167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</row>
    <row r="1427" spans="1:20" s="167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</row>
    <row r="1428" spans="1:20" s="167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</row>
    <row r="1429" spans="1:20" s="167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</row>
    <row r="1430" spans="1:20" s="167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</row>
    <row r="1431" spans="1:20" s="167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</row>
    <row r="1432" spans="1:20" s="167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</row>
    <row r="1433" spans="1:20" s="167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</row>
    <row r="1434" spans="1:20" s="167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</row>
    <row r="1435" spans="1:20" s="167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</row>
    <row r="1436" spans="1:20" s="167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</row>
    <row r="1437" spans="1:20" s="167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</row>
    <row r="1438" spans="1:20" s="167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</row>
    <row r="1439" spans="1:20" s="167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</row>
    <row r="1440" spans="1:20" s="167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</row>
    <row r="1441" spans="1:20" s="167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</row>
    <row r="1442" spans="1:20" s="167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</row>
    <row r="1443" spans="1:20" s="167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</row>
    <row r="1444" spans="1:20" s="167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</row>
    <row r="1445" spans="1:20" s="167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</row>
    <row r="1446" spans="1:20" s="167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</row>
    <row r="1447" spans="1:20" s="167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</row>
    <row r="1448" spans="1:20" s="167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</row>
    <row r="1449" spans="1:20" s="167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</row>
    <row r="1450" spans="1:20" s="167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</row>
    <row r="1451" spans="1:20" s="167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</row>
    <row r="1452" spans="1:20" s="167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</row>
    <row r="1453" spans="1:20" s="167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</row>
    <row r="1454" spans="1:20" s="167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</row>
    <row r="1455" spans="1:20" s="167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</row>
    <row r="1456" spans="1:20" s="167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</row>
    <row r="1457" spans="1:20" s="167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</row>
    <row r="1458" spans="1:20" s="167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</row>
    <row r="1459" spans="1:20" s="167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</row>
    <row r="1460" spans="1:20" s="167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</row>
    <row r="1461" spans="1:20" s="167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</row>
    <row r="1462" spans="1:20" s="167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</row>
    <row r="1463" spans="1:20" s="167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</row>
    <row r="1464" spans="1:20" s="167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</row>
    <row r="1465" spans="1:20" s="167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</row>
    <row r="1466" spans="1:20" s="167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</row>
    <row r="1467" spans="1:20" s="167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</row>
    <row r="1468" spans="1:20" s="167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</row>
    <row r="1469" spans="1:20" s="167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</row>
    <row r="1470" spans="1:20" s="167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</row>
    <row r="1471" spans="1:20" s="167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</row>
    <row r="1472" spans="1:20" s="167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</row>
    <row r="1473" spans="1:20" s="167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</row>
    <row r="1474" spans="1:20" s="167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</row>
    <row r="1475" spans="1:20" s="167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</row>
    <row r="1476" spans="1:20" s="167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</row>
    <row r="1477" spans="1:20" s="167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</row>
    <row r="1478" spans="1:20" s="167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</row>
    <row r="1479" spans="1:20" s="167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</row>
    <row r="1480" spans="1:20" s="167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</row>
    <row r="1481" spans="1:20" s="167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</row>
    <row r="1482" spans="1:20" s="167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</row>
    <row r="1483" spans="1:20" s="167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</row>
    <row r="1484" spans="1:20" s="167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</row>
    <row r="1485" spans="1:20" s="167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</row>
    <row r="1486" spans="1:20" s="167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</row>
    <row r="1487" spans="1:20" s="167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</row>
    <row r="1488" spans="1:20" s="167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</row>
    <row r="1489" spans="1:20" s="167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</row>
    <row r="1490" spans="1:20" s="167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</row>
    <row r="1491" spans="1:20" s="167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</row>
    <row r="1492" spans="1:20" s="167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</row>
    <row r="1493" spans="1:20" s="167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</row>
    <row r="1494" spans="1:20" s="167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</row>
    <row r="1495" spans="1:20" s="167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</row>
    <row r="1496" spans="1:20" s="167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</row>
    <row r="1497" spans="1:20" s="167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</row>
    <row r="1498" spans="1:20" s="167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</row>
    <row r="1499" spans="1:20" s="167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</row>
    <row r="1500" spans="1:20" s="167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</row>
    <row r="1501" spans="1:20" s="167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</row>
    <row r="1502" spans="1:20" s="167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</row>
    <row r="1503" spans="1:20" s="167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</row>
    <row r="1504" spans="1:20" s="167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</row>
    <row r="1505" spans="1:20" s="167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</row>
    <row r="1506" spans="1:20" s="167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</row>
    <row r="1507" spans="1:20" s="167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</row>
    <row r="1508" spans="1:20" s="167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</row>
    <row r="1509" spans="1:20" s="167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</row>
    <row r="1510" spans="1:20" s="167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</row>
    <row r="1511" spans="1:20" s="167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</row>
    <row r="1512" spans="1:20" s="167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</row>
    <row r="1513" spans="1:20" s="167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</row>
    <row r="1514" spans="1:20" s="167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</row>
    <row r="1515" spans="1:20" s="167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</row>
    <row r="1516" spans="1:20" s="167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</row>
    <row r="1517" spans="1:20" s="167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</row>
    <row r="1518" spans="1:20" s="167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</row>
    <row r="1519" spans="1:20" s="167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</row>
    <row r="1520" spans="1:20" s="167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</row>
    <row r="1521" spans="1:20" s="167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</row>
    <row r="1522" spans="1:20" s="167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</row>
    <row r="1523" spans="1:20" s="167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</row>
    <row r="1524" spans="1:20" s="167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</row>
    <row r="1525" spans="1:20" s="167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</row>
    <row r="1526" spans="1:20" s="167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</row>
    <row r="1527" spans="1:20" s="167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</row>
    <row r="1528" spans="1:20" s="167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</row>
    <row r="1529" spans="1:20" s="167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</row>
    <row r="1530" spans="1:20" s="167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</row>
    <row r="1531" spans="1:20" s="167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</row>
    <row r="1532" spans="1:20" s="167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</row>
    <row r="1533" spans="1:20" s="167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</row>
    <row r="1534" spans="1:20" s="167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</row>
    <row r="1535" spans="1:20" s="167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</row>
    <row r="1536" spans="1:20" s="167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</row>
    <row r="1537" spans="1:20" s="167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</row>
    <row r="1538" spans="1:20" s="167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</row>
    <row r="1539" spans="1:20" s="167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</row>
    <row r="1540" spans="1:20" s="167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</row>
    <row r="1541" spans="1:20" s="167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</row>
    <row r="1542" spans="1:20" s="167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</row>
    <row r="1543" spans="1:20" s="167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</row>
    <row r="1544" spans="1:20" s="167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</row>
    <row r="1545" spans="1:20" s="167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</row>
    <row r="1546" spans="1:20" s="167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</row>
    <row r="1547" spans="1:20" s="167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</row>
    <row r="1548" spans="1:20" s="167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</row>
    <row r="1549" spans="1:20" s="167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</row>
    <row r="1550" spans="1:20" s="167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</row>
    <row r="1551" spans="1:20" s="167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</row>
    <row r="1552" spans="1:20" s="167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</row>
    <row r="1553" spans="1:20" s="167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</row>
    <row r="1554" spans="1:20" s="167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</row>
    <row r="1555" spans="1:20" s="167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</row>
    <row r="1556" spans="1:20" s="167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</row>
    <row r="1557" spans="1:20" s="167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</row>
    <row r="1558" spans="1:20" s="167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</row>
    <row r="1559" spans="1:20" s="167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</row>
    <row r="1560" spans="1:20" s="167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</row>
    <row r="1561" spans="1:20" s="167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</row>
    <row r="1562" spans="1:20" s="167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</row>
    <row r="1563" spans="1:20" s="167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</row>
    <row r="1564" spans="1:20" s="167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</row>
    <row r="1565" spans="1:20" s="167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</row>
    <row r="1566" spans="1:20" s="167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</row>
    <row r="1567" spans="1:20" s="167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</row>
    <row r="1568" spans="1:20" s="167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</row>
    <row r="1569" spans="1:20" s="167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</row>
    <row r="1570" spans="1:20" s="167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</row>
    <row r="1571" spans="1:20" s="167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</row>
    <row r="1572" spans="1:20" s="167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</row>
    <row r="1573" spans="1:20" s="167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</row>
    <row r="1574" spans="1:20" s="167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</row>
    <row r="1575" spans="1:20" s="167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</row>
    <row r="1576" spans="1:20" s="167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</row>
    <row r="1577" spans="1:20" s="167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</row>
    <row r="1578" spans="1:20" s="167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</row>
    <row r="1579" spans="1:20" s="167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</row>
    <row r="1580" spans="1:20" s="167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</row>
    <row r="1581" spans="1:20" s="167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</row>
    <row r="1582" spans="1:20" s="167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</row>
    <row r="1583" spans="1:20" s="167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</row>
    <row r="1584" spans="1:20" s="167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</row>
    <row r="1585" spans="1:20" s="167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</row>
    <row r="1586" spans="1:20" s="167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</row>
    <row r="1587" spans="1:20" s="167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</row>
    <row r="1588" spans="1:20" s="167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</row>
    <row r="1589" spans="1:20" s="167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</row>
    <row r="1590" spans="1:20" s="167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</row>
    <row r="1591" spans="1:20" s="167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</row>
    <row r="1592" spans="1:20" s="167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</row>
    <row r="1593" spans="1:20" s="167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</row>
    <row r="1594" spans="1:20" s="167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</row>
    <row r="1595" spans="1:20" s="167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</row>
    <row r="1596" spans="1:20" s="167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</row>
    <row r="1597" spans="1:20" s="167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</row>
    <row r="1598" spans="1:20" s="167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</row>
    <row r="1599" spans="1:20" s="167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</row>
    <row r="1600" spans="1:20" s="167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</row>
    <row r="1601" spans="1:20" s="167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</row>
    <row r="1602" spans="1:20" s="167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</row>
    <row r="1603" spans="1:20" s="167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</row>
    <row r="1604" spans="1:20" s="167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</row>
    <row r="1605" spans="1:20" s="167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</row>
    <row r="1606" spans="1:20" s="167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</row>
    <row r="1607" spans="1:20" s="167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</row>
    <row r="1608" spans="1:20" s="167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</row>
    <row r="1609" spans="1:20" s="167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</row>
    <row r="1610" spans="1:20" s="167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</row>
    <row r="1611" spans="1:20" s="167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</row>
    <row r="1612" spans="1:20" s="167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</row>
    <row r="1613" spans="1:20" s="167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</row>
    <row r="1614" spans="1:20" s="167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</row>
    <row r="1615" spans="1:20" s="167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spans="1:20" s="167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spans="1:20" s="167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spans="1:20" s="167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spans="1:20" s="167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spans="1:20" s="167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spans="1:20" s="167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spans="1:20" s="167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spans="1:20" s="167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</row>
    <row r="1624" spans="1:20" s="167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</row>
    <row r="1625" spans="1:20" s="167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</row>
    <row r="1626" spans="1:20" s="167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</row>
    <row r="1627" spans="1:20" s="167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</row>
    <row r="1628" spans="1:20" s="167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</row>
    <row r="1629" spans="1:20" s="167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</row>
    <row r="1630" spans="1:20" s="167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</row>
    <row r="1631" spans="1:20" s="167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</row>
    <row r="1632" spans="1:20" s="167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</row>
    <row r="1633" spans="1:20" s="167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</row>
    <row r="1634" spans="1:20" s="167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</row>
    <row r="1635" spans="1:20" s="167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</row>
    <row r="1636" spans="1:20" s="167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</row>
    <row r="1637" spans="1:20" s="167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</row>
    <row r="1638" spans="1:20" s="167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</row>
    <row r="1639" spans="1:20" s="167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</row>
    <row r="1640" spans="1:20" s="167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</row>
    <row r="1641" spans="1:20" s="167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</row>
    <row r="1642" spans="1:20" s="167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</row>
    <row r="1643" spans="1:20" s="167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</row>
    <row r="1644" spans="1:20" s="167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</row>
    <row r="1645" spans="1:20" s="167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</row>
    <row r="1646" spans="1:20" s="167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</row>
    <row r="1647" spans="1:20" s="167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</row>
    <row r="1648" spans="1:20" s="167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</row>
    <row r="1649" spans="1:20" s="167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</row>
    <row r="1650" spans="1:20" s="167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</row>
    <row r="1651" spans="1:20" s="167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</row>
    <row r="1652" spans="1:20" s="167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</row>
    <row r="1653" spans="1:20" s="167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</row>
    <row r="1654" spans="1:20" s="167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</row>
    <row r="1655" spans="1:20" s="167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</row>
    <row r="1656" spans="1:20" s="167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</row>
    <row r="1657" spans="1:20" s="167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</row>
    <row r="1658" spans="1:20" s="167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</row>
    <row r="1659" spans="1:20" s="167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</row>
    <row r="1660" spans="1:20" s="167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</row>
    <row r="1661" spans="1:20" s="167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</row>
    <row r="1662" spans="1:20" s="167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</row>
    <row r="1663" spans="1:20" s="167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</row>
    <row r="1664" spans="1:20" s="167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</row>
    <row r="1665" spans="1:20" s="167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</row>
    <row r="1666" spans="1:20" s="167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</row>
    <row r="1667" spans="1:20" s="167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</row>
    <row r="1668" spans="1:20" s="167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</row>
    <row r="1669" spans="1:20" s="167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</row>
    <row r="1670" spans="1:20" s="167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</row>
    <row r="1671" spans="1:20" s="167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</row>
    <row r="1672" spans="1:20" s="167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</row>
    <row r="1673" spans="1:20" s="167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</row>
    <row r="1674" spans="1:20" s="167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</row>
    <row r="1675" spans="1:20" s="167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</row>
    <row r="1676" spans="1:20" s="167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</row>
    <row r="1677" spans="1:20" s="167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</row>
    <row r="1678" spans="1:20" s="167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</row>
    <row r="1679" spans="1:20" s="167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</row>
    <row r="1680" spans="1:20" s="167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</row>
    <row r="1681" spans="1:20" s="167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</row>
    <row r="1682" spans="1:20" s="167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</row>
    <row r="1683" spans="1:20" s="167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</row>
    <row r="1684" spans="1:20" s="167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</row>
    <row r="1685" spans="1:20" s="167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</row>
    <row r="1686" spans="1:20" s="167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</row>
    <row r="1687" spans="1:20" s="167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</row>
    <row r="1688" spans="1:20" s="167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</row>
    <row r="1689" spans="1:20" s="167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</row>
    <row r="1690" spans="1:20" s="167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</row>
    <row r="1691" spans="1:20" s="167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</row>
    <row r="1692" spans="1:20" s="167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</row>
    <row r="1693" spans="1:20" s="167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</row>
    <row r="1694" spans="1:20" s="167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</row>
    <row r="1695" spans="1:20" s="167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</row>
    <row r="1696" spans="1:20" s="167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</row>
    <row r="1697" spans="1:20" s="167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</row>
    <row r="1698" spans="1:20" s="167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</row>
    <row r="1699" spans="1:20" s="167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</row>
    <row r="1700" spans="1:20" s="167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</row>
    <row r="1701" spans="1:20" s="167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</row>
    <row r="1702" spans="1:20" s="167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</row>
    <row r="1703" spans="1:20" s="167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</row>
    <row r="1704" spans="1:20" s="167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</row>
    <row r="1705" spans="1:20" s="167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</row>
    <row r="1706" spans="1:20" s="167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</row>
    <row r="1707" spans="1:20" s="167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</row>
    <row r="1708" spans="1:20" s="167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</row>
    <row r="1709" spans="1:20" s="167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</row>
    <row r="1710" spans="1:20" s="167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</row>
    <row r="1711" spans="1:20" s="167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</row>
    <row r="1712" spans="1:20" s="167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</row>
    <row r="1713" spans="1:20" s="167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</row>
    <row r="1714" spans="1:20" s="167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</row>
    <row r="1715" spans="1:20" s="167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</row>
    <row r="1716" spans="1:20" s="167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</row>
    <row r="1717" spans="1:20" s="167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</row>
    <row r="1718" spans="1:20" s="167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</row>
    <row r="1719" spans="1:20" s="167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</row>
    <row r="1720" spans="1:20" s="167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</row>
    <row r="1721" spans="1:20" s="167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</row>
    <row r="1722" spans="1:20" s="167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</row>
    <row r="1723" spans="1:20" s="167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</row>
    <row r="1724" spans="1:20" s="167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</row>
    <row r="1725" spans="1:20" s="167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</row>
    <row r="1726" spans="1:20" s="167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</row>
    <row r="1727" spans="1:20" s="167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</row>
    <row r="1728" spans="1:20" s="167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</row>
    <row r="1729" spans="1:20" s="167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</row>
    <row r="1730" spans="1:20" s="167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</row>
    <row r="1731" spans="1:20" s="167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</row>
    <row r="1732" spans="1:20" s="167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</row>
    <row r="1733" spans="1:20" s="167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</row>
    <row r="1734" spans="1:20" s="167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</row>
    <row r="1735" spans="1:20" s="167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</row>
    <row r="1736" spans="1:20" s="167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</row>
    <row r="1737" spans="1:20" s="167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</row>
    <row r="1738" spans="1:20" s="167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</row>
    <row r="1739" spans="1:20" s="167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</row>
    <row r="1740" spans="1:20" s="167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</row>
    <row r="1741" spans="1:20" s="167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</row>
    <row r="1742" spans="1:20" s="167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</row>
    <row r="1743" spans="1:20" s="167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</row>
    <row r="1744" spans="1:20" s="167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</row>
    <row r="1745" spans="1:20" s="167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</row>
    <row r="1746" spans="1:20" s="167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</row>
    <row r="1747" spans="1:20" s="167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</row>
    <row r="1748" spans="1:20" s="167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</row>
    <row r="1749" spans="1:20" s="167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</row>
    <row r="1750" spans="1:20" s="167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</row>
    <row r="1751" spans="1:20" s="167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</row>
    <row r="1752" spans="1:20" s="167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</row>
    <row r="1753" spans="1:20" s="167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</row>
    <row r="1754" spans="1:20" s="167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</row>
    <row r="1755" spans="1:20" s="167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</row>
    <row r="1756" spans="1:20" s="167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</row>
    <row r="1757" spans="1:20" s="167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</row>
    <row r="1758" spans="1:20" s="167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</row>
    <row r="1759" spans="1:20" s="167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</row>
    <row r="1760" spans="1:20" s="167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</row>
    <row r="1761" spans="1:20" s="167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</row>
    <row r="1762" spans="1:20" s="167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</row>
    <row r="1763" spans="1:20" s="167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</row>
    <row r="1764" spans="1:20" s="167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</row>
    <row r="1765" spans="1:20" s="167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</row>
    <row r="1766" spans="1:20" s="167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</row>
    <row r="1767" spans="1:20" s="167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</row>
    <row r="1768" spans="1:20" s="167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</row>
    <row r="1769" spans="1:20" s="167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</row>
    <row r="1770" spans="1:20" s="167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</row>
    <row r="1771" spans="1:20" s="167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</row>
    <row r="1772" spans="1:20" s="167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</row>
    <row r="1773" spans="1:20" s="167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</row>
    <row r="1774" spans="1:20" s="167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</row>
    <row r="1775" spans="1:20" s="167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</row>
    <row r="1776" spans="1:20" s="167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</row>
    <row r="1777" spans="1:20" s="167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</row>
    <row r="1778" spans="1:20" s="167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</row>
    <row r="1779" spans="1:20" s="167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</row>
    <row r="1780" spans="1:20" s="167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</row>
    <row r="1781" spans="1:20" s="167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</row>
    <row r="1782" spans="1:20" s="167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</row>
    <row r="1783" spans="1:20" s="167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</row>
    <row r="1784" spans="1:20" s="167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</row>
    <row r="1785" spans="1:20" s="167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</row>
    <row r="1786" spans="1:20" s="167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</row>
    <row r="1787" spans="1:20" s="167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</row>
    <row r="1788" spans="1:20" s="167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</row>
    <row r="1789" spans="1:20" s="167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</row>
    <row r="1790" spans="1:20" s="167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</row>
    <row r="1791" spans="1:20" s="167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</row>
    <row r="1792" spans="1:20" s="167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</row>
    <row r="1793" spans="1:20" s="167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</row>
    <row r="1794" spans="1:20" s="167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</row>
    <row r="1795" spans="1:20" s="167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</row>
    <row r="1796" spans="1:20" s="167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</row>
    <row r="1797" spans="1:20" s="167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</row>
    <row r="1798" spans="1:20" s="167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</row>
    <row r="1799" spans="1:20" s="167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</row>
    <row r="1800" spans="1:20" s="167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</row>
    <row r="1801" spans="1:20" s="167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</row>
    <row r="1802" spans="1:20" s="167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</row>
    <row r="1803" spans="1:20" s="167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</row>
    <row r="1804" spans="1:20" s="167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</row>
    <row r="1805" spans="1:20" s="167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</row>
    <row r="1806" spans="1:20" s="167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</row>
    <row r="1807" spans="1:20" s="167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</row>
    <row r="1808" spans="1:20" s="167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</row>
    <row r="1809" spans="1:20" s="167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</row>
    <row r="1810" spans="1:20" s="167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</row>
    <row r="1811" spans="1:20" s="167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</row>
    <row r="1812" spans="1:20" s="167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</row>
    <row r="1813" spans="1:20" s="167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</row>
    <row r="1814" spans="1:20" s="167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</row>
    <row r="1815" spans="1:20" s="167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</row>
    <row r="1816" spans="1:20" s="167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</row>
    <row r="1817" spans="1:20" s="167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</row>
    <row r="1818" spans="1:20" s="167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</row>
    <row r="1819" spans="1:20" s="167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</row>
    <row r="1820" spans="1:20" s="167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</row>
    <row r="1821" spans="1:20" s="167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</row>
    <row r="1822" spans="1:20" s="167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</row>
    <row r="1823" spans="1:20" s="167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</row>
    <row r="1824" spans="1:20" s="167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</row>
    <row r="1825" spans="1:20" s="167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</row>
    <row r="1826" spans="1:20" s="167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</row>
    <row r="1827" spans="1:20" s="167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</row>
    <row r="1828" spans="1:20" s="167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</row>
    <row r="1829" spans="1:20" s="167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</row>
    <row r="1830" spans="1:20" s="167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</row>
    <row r="1831" spans="1:20" s="167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</row>
    <row r="1832" spans="1:20" s="167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</row>
    <row r="1833" spans="1:20" s="167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</row>
    <row r="1834" spans="1:20" s="167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</row>
    <row r="1835" spans="1:20" s="167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</row>
    <row r="1836" spans="1:20" s="167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</row>
    <row r="1837" spans="1:20" s="167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</row>
    <row r="1838" spans="1:20" s="167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</row>
    <row r="1839" spans="1:20" s="167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</row>
    <row r="1840" spans="1:20" s="167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</row>
    <row r="1841" spans="1:20" s="167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</row>
    <row r="1842" spans="1:20" s="167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</row>
    <row r="1843" spans="1:20" s="167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</row>
    <row r="1844" spans="1:20" s="167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</row>
    <row r="1845" spans="1:20" s="167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</row>
    <row r="1846" spans="1:20" s="167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</row>
    <row r="1847" spans="1:20" s="167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</row>
    <row r="1848" spans="1:20" s="167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</row>
    <row r="1849" spans="1:20" s="167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</row>
    <row r="1850" spans="1:20" s="167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</row>
    <row r="1851" spans="1:20" s="167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</row>
    <row r="1852" spans="1:20" s="167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</row>
    <row r="1853" spans="1:20" s="167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</row>
    <row r="1854" spans="1:20" s="167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</row>
    <row r="1855" spans="1:20" s="167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</row>
    <row r="1856" spans="1:20" s="167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</row>
    <row r="1857" spans="1:20" s="167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</row>
    <row r="1858" spans="1:20" s="167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</row>
    <row r="1859" spans="1:20" s="167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</row>
    <row r="1860" spans="1:20" s="167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</row>
    <row r="1861" spans="1:20" s="167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</row>
    <row r="1862" spans="1:20" s="167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</row>
    <row r="1863" spans="1:20" s="167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</row>
    <row r="1864" spans="1:20" s="167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</row>
    <row r="1865" spans="1:20" s="167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</row>
    <row r="1866" spans="1:20" s="167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</row>
    <row r="1867" spans="1:20" s="167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</row>
    <row r="1868" spans="1:20" s="167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</row>
    <row r="1869" spans="1:20" s="167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</row>
    <row r="1870" spans="1:20" s="167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</row>
    <row r="1871" spans="1:20" s="167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</row>
    <row r="1872" spans="1:20" s="167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</row>
    <row r="1873" spans="1:20" s="167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</row>
    <row r="1874" spans="1:20" s="167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</row>
    <row r="1875" spans="1:20" s="167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</row>
    <row r="1876" spans="1:20" s="167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</row>
    <row r="1877" spans="1:20" s="167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</row>
    <row r="1878" spans="1:20" s="167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</row>
    <row r="1879" spans="1:20" s="167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</row>
    <row r="1880" spans="1:20" s="167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</row>
    <row r="1881" spans="1:20" s="167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</row>
    <row r="1882" spans="1:20" s="167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</row>
    <row r="1883" spans="1:20" s="167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</row>
    <row r="1884" spans="1:20" s="167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</row>
    <row r="1885" spans="1:20" s="167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</row>
    <row r="1886" spans="1:20" s="167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</row>
    <row r="1887" spans="1:20" s="167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</row>
    <row r="1888" spans="1:20" s="167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</row>
    <row r="1889" spans="1:20" s="167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</row>
    <row r="1890" spans="1:20" s="167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</row>
    <row r="1891" spans="1:20" s="167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</row>
    <row r="1892" spans="1:20" s="167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</row>
    <row r="1893" spans="1:20" s="167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</row>
    <row r="1894" spans="1:20" s="167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</row>
    <row r="1895" spans="1:20" s="167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</row>
    <row r="1896" spans="1:20" s="167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</row>
    <row r="1897" spans="1:20" s="167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</row>
    <row r="1898" spans="1:20" s="167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</row>
    <row r="1899" spans="1:20" s="167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</row>
    <row r="1900" spans="1:20" s="167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</row>
    <row r="1901" spans="1:20" s="167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</row>
    <row r="1902" spans="1:20" s="167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</row>
    <row r="1903" spans="1:20" s="167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</row>
    <row r="1904" spans="1:20" s="167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</row>
    <row r="1905" spans="1:20" s="167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</row>
    <row r="1906" spans="1:20" s="167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</row>
    <row r="1907" spans="1:20" s="167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</row>
    <row r="1908" spans="1:20" s="167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</row>
    <row r="1909" spans="1:20" s="167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</row>
    <row r="1910" spans="1:20" s="167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</row>
    <row r="1911" spans="1:20" s="167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</row>
    <row r="1912" spans="1:20" s="167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</row>
    <row r="1913" spans="1:20" s="167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</row>
    <row r="1914" spans="1:20" s="167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</row>
    <row r="1915" spans="1:20" s="167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</row>
    <row r="1916" spans="1:20" s="167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</row>
    <row r="1917" spans="1:20" s="167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</row>
    <row r="1918" spans="1:20" s="167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</row>
    <row r="1919" spans="1:20" s="167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</row>
    <row r="1920" spans="1:20" s="167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</row>
    <row r="1921" spans="1:20" s="167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</row>
    <row r="1922" spans="1:20" s="167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</row>
    <row r="1923" spans="1:20" s="167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</row>
    <row r="1924" spans="1:20" s="167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</row>
    <row r="1925" spans="1:20" s="167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</row>
    <row r="1926" spans="1:20" s="167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</row>
    <row r="1927" spans="1:20" s="167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</row>
    <row r="1928" spans="1:20" s="167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</row>
    <row r="1929" spans="1:20" s="167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</row>
    <row r="1930" spans="1:20" s="167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</row>
    <row r="1931" spans="1:20" s="167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</row>
    <row r="1932" spans="1:20" s="167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</row>
    <row r="1933" spans="1:20" s="167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</row>
    <row r="1934" spans="1:20" s="167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</row>
    <row r="1935" spans="1:20" s="167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</row>
    <row r="1936" spans="1:20" s="167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</row>
    <row r="1937" spans="1:20" s="167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</row>
    <row r="1938" spans="1:20" s="167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</row>
    <row r="1939" spans="1:20" s="167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</row>
    <row r="1940" spans="1:20" s="167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</row>
    <row r="1941" spans="1:20" s="167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</row>
    <row r="1942" spans="1:20" s="167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</row>
    <row r="1943" spans="1:20" s="167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</row>
    <row r="1944" spans="1:20" s="167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</row>
    <row r="1945" spans="1:20" s="167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</row>
    <row r="1946" spans="1:20" s="167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</row>
    <row r="1947" spans="1:20" s="167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</row>
    <row r="1948" spans="1:20" s="167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</row>
    <row r="1949" spans="1:20" s="167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</row>
    <row r="1950" spans="1:20" s="167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</row>
    <row r="1951" spans="1:20" s="167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</row>
    <row r="1952" spans="1:20" s="167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</row>
    <row r="1953" spans="1:20" s="167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</row>
    <row r="1954" spans="1:20" s="167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</row>
    <row r="1955" spans="1:20" s="167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</row>
    <row r="1956" spans="1:20" s="167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</row>
    <row r="1957" spans="1:20" s="167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</row>
    <row r="1958" spans="1:20" s="167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</row>
    <row r="1959" spans="1:20" s="167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</row>
    <row r="1960" spans="1:20" s="167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</row>
    <row r="1961" spans="1:20" s="167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</row>
    <row r="1962" spans="1:20" s="167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</row>
    <row r="1963" spans="1:20" s="167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</row>
    <row r="1964" spans="1:20" s="167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</row>
    <row r="1965" spans="1:20" s="167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</row>
    <row r="1966" spans="1:20" s="167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</row>
    <row r="1967" spans="1:20" s="167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</row>
    <row r="1968" spans="1:20" s="167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</row>
    <row r="1969" spans="1:20" s="167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</row>
    <row r="1970" spans="1:20" s="167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</row>
    <row r="1971" spans="1:20" s="167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</row>
    <row r="1972" spans="1:20" s="167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</row>
    <row r="1973" spans="1:20" s="167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</row>
    <row r="1974" spans="1:20" s="167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</row>
    <row r="1975" spans="1:20" s="167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</row>
    <row r="1976" spans="1:20" s="167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</row>
    <row r="1977" spans="1:20" s="167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</row>
    <row r="1978" spans="1:20" s="167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</row>
    <row r="1979" spans="1:20" s="167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</row>
    <row r="1980" spans="1:20" s="167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</row>
    <row r="1981" spans="1:20" s="167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</row>
    <row r="1982" spans="1:20" s="167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</row>
    <row r="1983" spans="1:20" s="167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</row>
    <row r="1984" spans="1:20" s="167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</row>
    <row r="1985" spans="1:20" s="167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</row>
    <row r="1986" spans="1:20" s="167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</row>
    <row r="1987" spans="1:20" s="167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</row>
    <row r="1988" spans="1:20" s="167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</row>
    <row r="1989" spans="1:20" s="167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</row>
    <row r="1990" spans="1:20" s="167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</row>
    <row r="1991" spans="1:20" s="167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</row>
    <row r="1992" spans="1:20" s="167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</row>
    <row r="1993" spans="1:20" s="167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</row>
    <row r="1994" spans="1:20" s="167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</row>
    <row r="1995" spans="1:20" s="167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</row>
    <row r="1996" spans="1:20" s="167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</row>
    <row r="1997" spans="1:20" s="167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</row>
    <row r="1998" spans="1:20" s="167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</row>
    <row r="1999" spans="1:20" s="167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</row>
    <row r="2000" spans="1:20" s="167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</row>
    <row r="2001" spans="1:20" s="167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</row>
    <row r="2002" spans="1:20" s="167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</row>
    <row r="2003" spans="1:20" s="167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</row>
    <row r="2004" spans="1:20" s="167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</row>
    <row r="2005" spans="1:20" s="167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</row>
    <row r="2006" spans="1:20" s="167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</row>
    <row r="2007" spans="1:20" s="167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</row>
    <row r="2008" spans="1:20" s="167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</row>
    <row r="2009" spans="1:20" s="167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</row>
    <row r="2010" spans="1:20" s="167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</row>
    <row r="2011" spans="1:20" s="167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</row>
    <row r="2012" spans="1:20" s="167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</row>
    <row r="2013" spans="1:20" s="167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</row>
    <row r="2014" spans="1:20" s="167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</row>
    <row r="2015" spans="1:20" s="167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</row>
    <row r="2016" spans="1:20" s="167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</row>
    <row r="2017" spans="1:20" s="167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</row>
    <row r="2018" spans="1:20" s="167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</row>
    <row r="2019" spans="1:20" s="167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</row>
    <row r="2020" spans="1:20" s="167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</row>
    <row r="2021" spans="1:20" s="167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</row>
    <row r="2022" spans="1:20" s="167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</row>
    <row r="2023" spans="1:20" s="167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</row>
    <row r="2024" spans="1:20" s="167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</row>
    <row r="2025" spans="1:20" s="167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</row>
    <row r="2026" spans="1:20" s="167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</row>
    <row r="2027" spans="1:20" s="167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</row>
    <row r="2028" spans="1:20" s="167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</row>
    <row r="2029" spans="1:20" s="167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</row>
    <row r="2030" spans="1:20" s="167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</row>
    <row r="2031" spans="1:20" s="167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</row>
    <row r="2032" spans="1:20" s="167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</row>
    <row r="2033" spans="1:20" s="167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</row>
    <row r="2034" spans="1:20" s="167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</row>
    <row r="2035" spans="1:20" s="167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</row>
    <row r="2036" spans="1:20" s="167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</row>
    <row r="2037" spans="1:20" s="167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</row>
    <row r="2038" spans="1:20" s="167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</row>
    <row r="2039" spans="1:20" s="167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</row>
    <row r="2040" spans="1:20" s="167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</row>
    <row r="2041" spans="1:20" s="167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</row>
    <row r="2042" spans="1:20" s="167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</row>
    <row r="2043" spans="1:20" s="167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</row>
    <row r="2044" spans="1:20" s="167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</row>
    <row r="2045" spans="1:20" s="167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</row>
    <row r="2046" spans="1:20" s="167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</row>
    <row r="2047" spans="1:20" s="167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</row>
    <row r="2048" spans="1:20" s="167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</row>
    <row r="2049" spans="1:20" s="167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</row>
    <row r="2050" spans="1:20" s="167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</row>
    <row r="2051" spans="1:20" s="167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</row>
    <row r="2052" spans="1:20" s="167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</row>
    <row r="2053" spans="1:20" s="167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</row>
    <row r="2054" spans="1:20" s="167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</row>
    <row r="2055" spans="1:20" s="167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</row>
    <row r="2056" spans="1:20" s="167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</row>
    <row r="2057" spans="1:20" s="167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</row>
    <row r="2058" spans="1:20" s="167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</row>
    <row r="2059" spans="1:20" s="167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</row>
    <row r="2060" spans="1:20" s="167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</row>
    <row r="2061" spans="1:20" s="167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</row>
    <row r="2062" spans="1:20" s="167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</row>
    <row r="2063" spans="1:20" s="167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</row>
    <row r="2064" spans="1:20" s="167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</row>
    <row r="2065" spans="1:20" s="167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</row>
    <row r="2066" spans="1:20" s="167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</row>
    <row r="2067" spans="1:20" s="167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</row>
    <row r="2068" spans="1:20" s="167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</row>
    <row r="2069" spans="1:20" s="167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</row>
    <row r="2070" spans="1:20" s="167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</row>
    <row r="2071" spans="1:20" s="167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</row>
    <row r="2072" spans="1:20" s="167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</row>
    <row r="2073" spans="1:20" s="167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</row>
    <row r="2074" spans="1:20" s="167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</row>
    <row r="2075" spans="1:20" s="167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</row>
    <row r="2076" spans="1:20" s="167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</row>
    <row r="2077" spans="1:20" s="167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</row>
    <row r="2078" spans="1:20" s="167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</row>
    <row r="2079" spans="1:20" s="167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</row>
    <row r="2080" spans="1:20" s="167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</row>
    <row r="2081" spans="1:20" s="167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</row>
    <row r="2082" spans="1:20" s="167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</row>
    <row r="2083" spans="1:20" s="167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</row>
    <row r="2084" spans="1:20" s="167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</row>
    <row r="2085" spans="1:20" s="167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</row>
    <row r="2086" spans="1:20" s="167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</row>
    <row r="2087" spans="1:20" s="167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</row>
    <row r="2088" spans="1:20" s="167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</row>
    <row r="2089" spans="1:20" s="167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</row>
    <row r="2090" spans="1:20" s="167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</row>
    <row r="2091" spans="1:20" s="167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</row>
    <row r="2092" spans="1:20" s="167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</row>
  </sheetData>
  <mergeCells count="21">
    <mergeCell ref="A326:A329"/>
    <mergeCell ref="M4:M7"/>
    <mergeCell ref="L1:R1"/>
    <mergeCell ref="R2:X2"/>
    <mergeCell ref="B2:Q2"/>
    <mergeCell ref="C3:Q3"/>
    <mergeCell ref="S6:S7"/>
    <mergeCell ref="T5:T7"/>
    <mergeCell ref="R6:R7"/>
    <mergeCell ref="L4:L7"/>
    <mergeCell ref="A4:A7"/>
    <mergeCell ref="B4:B7"/>
    <mergeCell ref="C4:C7"/>
    <mergeCell ref="K4:K7"/>
    <mergeCell ref="O645:R645"/>
    <mergeCell ref="N4:T4"/>
    <mergeCell ref="P6:P7"/>
    <mergeCell ref="O6:O7"/>
    <mergeCell ref="O5:S5"/>
    <mergeCell ref="N5:N7"/>
    <mergeCell ref="Q6:Q7"/>
  </mergeCells>
  <printOptions/>
  <pageMargins left="0.3937007874015748" right="0.3937007874015748" top="0.5118110236220472" bottom="0.5118110236220472" header="0.15748031496062992" footer="0.2755905511811024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3">
      <selection activeCell="B15" sqref="B15:B17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625" style="0" customWidth="1"/>
    <col min="8" max="8" width="10.00390625" style="0" customWidth="1"/>
    <col min="9" max="9" width="10.125" style="0" hidden="1" customWidth="1"/>
    <col min="10" max="10" width="9.25390625" style="0" customWidth="1"/>
    <col min="11" max="11" width="2.875" style="0" customWidth="1"/>
    <col min="12" max="12" width="10.875" style="0" customWidth="1"/>
    <col min="13" max="13" width="10.75390625" style="0" customWidth="1"/>
    <col min="14" max="14" width="11.125" style="0" customWidth="1"/>
    <col min="15" max="15" width="11.00390625" style="0" customWidth="1"/>
    <col min="16" max="16" width="15.75390625" style="0" customWidth="1"/>
  </cols>
  <sheetData>
    <row r="2" spans="6:16" ht="17.25" customHeight="1">
      <c r="F2" s="69"/>
      <c r="J2" s="691" t="s">
        <v>154</v>
      </c>
      <c r="K2" s="691"/>
      <c r="L2" s="691"/>
      <c r="M2" s="691"/>
      <c r="N2" s="691"/>
      <c r="O2" s="691"/>
      <c r="P2" s="691"/>
    </row>
    <row r="3" spans="1:16" ht="27" customHeight="1">
      <c r="A3" s="696" t="s">
        <v>164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</row>
    <row r="4" spans="1:16" ht="24.75" customHeight="1">
      <c r="A4" s="688" t="s">
        <v>482</v>
      </c>
      <c r="B4" s="682" t="s">
        <v>415</v>
      </c>
      <c r="C4" s="682" t="s">
        <v>416</v>
      </c>
      <c r="D4" s="682" t="s">
        <v>905</v>
      </c>
      <c r="E4" s="688" t="s">
        <v>590</v>
      </c>
      <c r="F4" s="688" t="s">
        <v>156</v>
      </c>
      <c r="G4" s="679" t="s">
        <v>488</v>
      </c>
      <c r="H4" s="680"/>
      <c r="I4" s="680"/>
      <c r="J4" s="680"/>
      <c r="K4" s="680"/>
      <c r="L4" s="680"/>
      <c r="M4" s="680"/>
      <c r="N4" s="680"/>
      <c r="O4" s="681"/>
      <c r="P4" s="688" t="s">
        <v>158</v>
      </c>
    </row>
    <row r="5" spans="1:16" ht="22.5" customHeight="1">
      <c r="A5" s="689"/>
      <c r="B5" s="692"/>
      <c r="C5" s="692"/>
      <c r="D5" s="692"/>
      <c r="E5" s="689"/>
      <c r="F5" s="689"/>
      <c r="G5" s="688" t="s">
        <v>157</v>
      </c>
      <c r="H5" s="679" t="s">
        <v>161</v>
      </c>
      <c r="I5" s="680"/>
      <c r="J5" s="680"/>
      <c r="K5" s="680"/>
      <c r="L5" s="680"/>
      <c r="M5" s="681"/>
      <c r="N5" s="682" t="s">
        <v>572</v>
      </c>
      <c r="O5" s="682" t="s">
        <v>163</v>
      </c>
      <c r="P5" s="689"/>
    </row>
    <row r="6" spans="1:16" ht="58.5" customHeight="1">
      <c r="A6" s="690"/>
      <c r="B6" s="683"/>
      <c r="C6" s="683"/>
      <c r="D6" s="683"/>
      <c r="E6" s="690"/>
      <c r="F6" s="690"/>
      <c r="G6" s="690"/>
      <c r="H6" s="367" t="s">
        <v>160</v>
      </c>
      <c r="I6" s="367" t="s">
        <v>591</v>
      </c>
      <c r="J6" s="367" t="s">
        <v>159</v>
      </c>
      <c r="K6" s="686" t="s">
        <v>700</v>
      </c>
      <c r="L6" s="687"/>
      <c r="M6" s="367" t="s">
        <v>162</v>
      </c>
      <c r="N6" s="683"/>
      <c r="O6" s="683"/>
      <c r="P6" s="690"/>
    </row>
    <row r="7" spans="1:16" ht="12.75">
      <c r="A7" s="10">
        <v>1</v>
      </c>
      <c r="B7" s="125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25">
        <v>8</v>
      </c>
      <c r="J7" s="125">
        <v>9</v>
      </c>
      <c r="K7" s="684">
        <v>10</v>
      </c>
      <c r="L7" s="685"/>
      <c r="M7" s="125">
        <v>11</v>
      </c>
      <c r="N7" s="125">
        <v>12</v>
      </c>
      <c r="O7" s="125">
        <v>13</v>
      </c>
      <c r="P7" s="125">
        <v>14</v>
      </c>
    </row>
    <row r="8" spans="1:16" ht="47.25" customHeight="1" hidden="1">
      <c r="A8" s="6"/>
      <c r="B8" s="137">
        <v>600</v>
      </c>
      <c r="C8" s="137">
        <v>60014</v>
      </c>
      <c r="D8" s="137"/>
      <c r="E8" s="132" t="s">
        <v>592</v>
      </c>
      <c r="F8" s="71" t="e">
        <f>G8+#REF!+#REF!</f>
        <v>#REF!</v>
      </c>
      <c r="G8" s="71">
        <f>H8+I8+L8+J8</f>
        <v>0</v>
      </c>
      <c r="H8" s="71"/>
      <c r="I8" s="71"/>
      <c r="J8" s="71"/>
      <c r="K8" s="71"/>
      <c r="L8" s="71"/>
      <c r="M8" s="71"/>
      <c r="N8" s="71"/>
      <c r="O8" s="71"/>
      <c r="P8" s="138" t="s">
        <v>588</v>
      </c>
    </row>
    <row r="9" spans="1:16" ht="20.25" customHeight="1">
      <c r="A9" s="673" t="s">
        <v>493</v>
      </c>
      <c r="B9" s="676">
        <v>600</v>
      </c>
      <c r="C9" s="676">
        <v>60014</v>
      </c>
      <c r="D9" s="693" t="s">
        <v>181</v>
      </c>
      <c r="E9" s="668" t="s">
        <v>293</v>
      </c>
      <c r="F9" s="664">
        <v>6475990</v>
      </c>
      <c r="G9" s="664">
        <f>H9+J9+L9+M9</f>
        <v>2232728</v>
      </c>
      <c r="H9" s="664">
        <v>470</v>
      </c>
      <c r="I9" s="365">
        <v>0</v>
      </c>
      <c r="J9" s="664">
        <v>334439</v>
      </c>
      <c r="K9" s="372" t="s">
        <v>436</v>
      </c>
      <c r="L9" s="364">
        <v>223273</v>
      </c>
      <c r="M9" s="664">
        <v>1674546</v>
      </c>
      <c r="N9" s="664">
        <v>0</v>
      </c>
      <c r="O9" s="664">
        <v>0</v>
      </c>
      <c r="P9" s="668" t="s">
        <v>588</v>
      </c>
    </row>
    <row r="10" spans="1:16" ht="21.75" customHeight="1">
      <c r="A10" s="674"/>
      <c r="B10" s="677"/>
      <c r="C10" s="677"/>
      <c r="D10" s="694"/>
      <c r="E10" s="669"/>
      <c r="F10" s="665"/>
      <c r="G10" s="665"/>
      <c r="H10" s="665"/>
      <c r="I10" s="365"/>
      <c r="J10" s="665"/>
      <c r="K10" s="372" t="s">
        <v>438</v>
      </c>
      <c r="L10" s="364"/>
      <c r="M10" s="665"/>
      <c r="N10" s="665"/>
      <c r="O10" s="665"/>
      <c r="P10" s="669"/>
    </row>
    <row r="11" spans="1:16" ht="28.5" customHeight="1">
      <c r="A11" s="675"/>
      <c r="B11" s="678"/>
      <c r="C11" s="678"/>
      <c r="D11" s="695"/>
      <c r="E11" s="670"/>
      <c r="F11" s="666"/>
      <c r="G11" s="666"/>
      <c r="H11" s="666"/>
      <c r="I11" s="365"/>
      <c r="J11" s="666"/>
      <c r="K11" s="372" t="s">
        <v>440</v>
      </c>
      <c r="L11" s="364"/>
      <c r="M11" s="666"/>
      <c r="N11" s="666"/>
      <c r="O11" s="666"/>
      <c r="P11" s="670"/>
    </row>
    <row r="12" spans="1:16" ht="15.75" customHeight="1">
      <c r="A12" s="673" t="s">
        <v>494</v>
      </c>
      <c r="B12" s="676">
        <v>600</v>
      </c>
      <c r="C12" s="676">
        <v>60014</v>
      </c>
      <c r="D12" s="676">
        <v>6050</v>
      </c>
      <c r="E12" s="668" t="s">
        <v>168</v>
      </c>
      <c r="F12" s="664">
        <v>4550000</v>
      </c>
      <c r="G12" s="664">
        <f>H12+J12+L13+M12</f>
        <v>50000</v>
      </c>
      <c r="H12" s="664">
        <v>25000</v>
      </c>
      <c r="I12" s="189">
        <v>0</v>
      </c>
      <c r="J12" s="664">
        <v>0</v>
      </c>
      <c r="K12" s="372" t="s">
        <v>436</v>
      </c>
      <c r="L12" s="364"/>
      <c r="M12" s="664">
        <v>0</v>
      </c>
      <c r="N12" s="664">
        <v>500000</v>
      </c>
      <c r="O12" s="664">
        <v>4000000</v>
      </c>
      <c r="P12" s="668" t="s">
        <v>588</v>
      </c>
    </row>
    <row r="13" spans="1:16" ht="13.5" customHeight="1">
      <c r="A13" s="674"/>
      <c r="B13" s="677"/>
      <c r="C13" s="677"/>
      <c r="D13" s="677"/>
      <c r="E13" s="669"/>
      <c r="F13" s="665"/>
      <c r="G13" s="665"/>
      <c r="H13" s="665"/>
      <c r="I13" s="189"/>
      <c r="J13" s="665"/>
      <c r="K13" s="372" t="s">
        <v>438</v>
      </c>
      <c r="L13" s="364">
        <v>25000</v>
      </c>
      <c r="M13" s="665"/>
      <c r="N13" s="665"/>
      <c r="O13" s="665"/>
      <c r="P13" s="669"/>
    </row>
    <row r="14" spans="1:16" ht="15" customHeight="1">
      <c r="A14" s="675"/>
      <c r="B14" s="678"/>
      <c r="C14" s="678"/>
      <c r="D14" s="678"/>
      <c r="E14" s="670"/>
      <c r="F14" s="666"/>
      <c r="G14" s="666"/>
      <c r="H14" s="666"/>
      <c r="I14" s="189"/>
      <c r="J14" s="666"/>
      <c r="K14" s="372" t="s">
        <v>440</v>
      </c>
      <c r="L14" s="364"/>
      <c r="M14" s="666"/>
      <c r="N14" s="666"/>
      <c r="O14" s="666"/>
      <c r="P14" s="670"/>
    </row>
    <row r="15" spans="1:16" ht="15" customHeight="1">
      <c r="A15" s="673" t="s">
        <v>496</v>
      </c>
      <c r="B15" s="676">
        <v>600</v>
      </c>
      <c r="C15" s="676">
        <v>60014</v>
      </c>
      <c r="D15" s="676">
        <v>6050</v>
      </c>
      <c r="E15" s="668" t="s">
        <v>165</v>
      </c>
      <c r="F15" s="664">
        <v>3100000</v>
      </c>
      <c r="G15" s="664">
        <f>H15+I15+L15+J15+M15</f>
        <v>50000</v>
      </c>
      <c r="H15" s="664">
        <v>50000</v>
      </c>
      <c r="I15" s="189"/>
      <c r="J15" s="664">
        <v>0</v>
      </c>
      <c r="K15" s="372" t="s">
        <v>436</v>
      </c>
      <c r="L15" s="364"/>
      <c r="M15" s="664">
        <v>0</v>
      </c>
      <c r="N15" s="664">
        <v>350000</v>
      </c>
      <c r="O15" s="664">
        <v>2700000</v>
      </c>
      <c r="P15" s="668" t="s">
        <v>588</v>
      </c>
    </row>
    <row r="16" spans="1:16" ht="13.5" customHeight="1">
      <c r="A16" s="674"/>
      <c r="B16" s="677"/>
      <c r="C16" s="677"/>
      <c r="D16" s="677"/>
      <c r="E16" s="669"/>
      <c r="F16" s="665"/>
      <c r="G16" s="665"/>
      <c r="H16" s="665"/>
      <c r="I16" s="189"/>
      <c r="J16" s="665"/>
      <c r="K16" s="372" t="s">
        <v>438</v>
      </c>
      <c r="L16" s="364"/>
      <c r="M16" s="665"/>
      <c r="N16" s="665"/>
      <c r="O16" s="665"/>
      <c r="P16" s="669"/>
    </row>
    <row r="17" spans="1:16" ht="13.5" customHeight="1">
      <c r="A17" s="675"/>
      <c r="B17" s="678"/>
      <c r="C17" s="678"/>
      <c r="D17" s="678"/>
      <c r="E17" s="670"/>
      <c r="F17" s="666"/>
      <c r="G17" s="666"/>
      <c r="H17" s="666"/>
      <c r="I17" s="189"/>
      <c r="J17" s="666"/>
      <c r="K17" s="373" t="s">
        <v>440</v>
      </c>
      <c r="L17" s="364"/>
      <c r="M17" s="666"/>
      <c r="N17" s="666"/>
      <c r="O17" s="666"/>
      <c r="P17" s="670"/>
    </row>
    <row r="18" spans="1:16" ht="15.75" customHeight="1">
      <c r="A18" s="673" t="s">
        <v>498</v>
      </c>
      <c r="B18" s="676">
        <v>600</v>
      </c>
      <c r="C18" s="676">
        <v>60014</v>
      </c>
      <c r="D18" s="676">
        <v>6050</v>
      </c>
      <c r="E18" s="668" t="s">
        <v>167</v>
      </c>
      <c r="F18" s="664">
        <v>2200000</v>
      </c>
      <c r="G18" s="664">
        <f>H18+J18+L19+M18</f>
        <v>120000</v>
      </c>
      <c r="H18" s="664">
        <v>60000</v>
      </c>
      <c r="I18" s="189"/>
      <c r="J18" s="664">
        <v>0</v>
      </c>
      <c r="K18" s="374" t="s">
        <v>436</v>
      </c>
      <c r="L18" s="364"/>
      <c r="M18" s="664">
        <v>0</v>
      </c>
      <c r="N18" s="664">
        <v>180000</v>
      </c>
      <c r="O18" s="664">
        <v>1900000</v>
      </c>
      <c r="P18" s="668" t="s">
        <v>588</v>
      </c>
    </row>
    <row r="19" spans="1:16" ht="15" customHeight="1">
      <c r="A19" s="674"/>
      <c r="B19" s="677"/>
      <c r="C19" s="677"/>
      <c r="D19" s="677"/>
      <c r="E19" s="669"/>
      <c r="F19" s="665"/>
      <c r="G19" s="665"/>
      <c r="H19" s="665"/>
      <c r="I19" s="189"/>
      <c r="J19" s="665"/>
      <c r="K19" s="373" t="s">
        <v>438</v>
      </c>
      <c r="L19" s="364">
        <v>60000</v>
      </c>
      <c r="M19" s="665"/>
      <c r="N19" s="665"/>
      <c r="O19" s="665"/>
      <c r="P19" s="669"/>
    </row>
    <row r="20" spans="1:16" ht="17.25" customHeight="1">
      <c r="A20" s="675"/>
      <c r="B20" s="678"/>
      <c r="C20" s="678"/>
      <c r="D20" s="678"/>
      <c r="E20" s="670"/>
      <c r="F20" s="666"/>
      <c r="G20" s="666"/>
      <c r="H20" s="666"/>
      <c r="I20" s="189"/>
      <c r="J20" s="666"/>
      <c r="K20" s="373" t="s">
        <v>440</v>
      </c>
      <c r="L20" s="364"/>
      <c r="M20" s="666"/>
      <c r="N20" s="666"/>
      <c r="O20" s="666"/>
      <c r="P20" s="670"/>
    </row>
    <row r="21" spans="1:17" ht="16.5" customHeight="1">
      <c r="A21" s="673" t="s">
        <v>530</v>
      </c>
      <c r="B21" s="676">
        <v>851</v>
      </c>
      <c r="C21" s="676">
        <v>85111</v>
      </c>
      <c r="D21" s="668" t="s">
        <v>180</v>
      </c>
      <c r="E21" s="668" t="s">
        <v>169</v>
      </c>
      <c r="F21" s="664">
        <v>6980000</v>
      </c>
      <c r="G21" s="664">
        <f>H21+I21+L21+J21+M21+L22+L23</f>
        <v>4098219</v>
      </c>
      <c r="H21" s="664">
        <v>106315</v>
      </c>
      <c r="I21" s="190">
        <v>0</v>
      </c>
      <c r="J21" s="664">
        <v>0</v>
      </c>
      <c r="K21" s="374" t="s">
        <v>436</v>
      </c>
      <c r="L21" s="366">
        <v>409822</v>
      </c>
      <c r="M21" s="664">
        <v>2115764</v>
      </c>
      <c r="N21" s="664">
        <v>1252809</v>
      </c>
      <c r="O21" s="664"/>
      <c r="P21" s="697" t="s">
        <v>593</v>
      </c>
      <c r="Q21" s="121"/>
    </row>
    <row r="22" spans="1:17" ht="16.5" customHeight="1">
      <c r="A22" s="674"/>
      <c r="B22" s="677"/>
      <c r="C22" s="677"/>
      <c r="D22" s="669"/>
      <c r="E22" s="669"/>
      <c r="F22" s="665"/>
      <c r="G22" s="665"/>
      <c r="H22" s="665"/>
      <c r="I22" s="190"/>
      <c r="J22" s="665"/>
      <c r="K22" s="373" t="s">
        <v>438</v>
      </c>
      <c r="L22" s="366">
        <v>745421</v>
      </c>
      <c r="M22" s="665"/>
      <c r="N22" s="665"/>
      <c r="O22" s="665"/>
      <c r="P22" s="698"/>
      <c r="Q22" s="121"/>
    </row>
    <row r="23" spans="1:17" ht="16.5" customHeight="1">
      <c r="A23" s="675"/>
      <c r="B23" s="678"/>
      <c r="C23" s="678"/>
      <c r="D23" s="670"/>
      <c r="E23" s="670"/>
      <c r="F23" s="666"/>
      <c r="G23" s="666"/>
      <c r="H23" s="666"/>
      <c r="I23" s="190"/>
      <c r="J23" s="666"/>
      <c r="K23" s="375" t="s">
        <v>440</v>
      </c>
      <c r="L23" s="366">
        <v>720897</v>
      </c>
      <c r="M23" s="666"/>
      <c r="N23" s="666"/>
      <c r="O23" s="666"/>
      <c r="P23" s="699"/>
      <c r="Q23" s="121"/>
    </row>
    <row r="24" spans="1:16" ht="26.25" customHeight="1">
      <c r="A24" s="679" t="s">
        <v>594</v>
      </c>
      <c r="B24" s="680"/>
      <c r="C24" s="680"/>
      <c r="D24" s="680"/>
      <c r="E24" s="681"/>
      <c r="F24" s="368">
        <f>F9+F12+F15+F18+F21</f>
        <v>23305990</v>
      </c>
      <c r="G24" s="368">
        <f>G9+G12+G15+G18+G21</f>
        <v>6550947</v>
      </c>
      <c r="H24" s="368">
        <f>H9+H12+H15+H18+H21</f>
        <v>241785</v>
      </c>
      <c r="I24" s="368">
        <f>I9+I12+I15+I18+I21</f>
        <v>0</v>
      </c>
      <c r="J24" s="368">
        <f>J9+J12+J15+J18+J21</f>
        <v>334439</v>
      </c>
      <c r="K24" s="702">
        <f>L9+L13+L19+L21+L22+L23</f>
        <v>2184413</v>
      </c>
      <c r="L24" s="703"/>
      <c r="M24" s="368">
        <f>M9+M12+M15+M18+M21</f>
        <v>3790310</v>
      </c>
      <c r="N24" s="368">
        <f>N9+N12+N15+N18+N21</f>
        <v>2282809</v>
      </c>
      <c r="O24" s="368">
        <f>O9+O12+O15+O18+O21</f>
        <v>8600000</v>
      </c>
      <c r="P24" s="368" t="s">
        <v>368</v>
      </c>
    </row>
    <row r="25" spans="1:15" ht="16.5" customHeight="1">
      <c r="A25" s="667" t="s">
        <v>170</v>
      </c>
      <c r="B25" s="667"/>
      <c r="C25" s="667"/>
      <c r="D25" s="667"/>
      <c r="E25" s="667"/>
      <c r="F25" s="667"/>
      <c r="G25" s="667"/>
      <c r="H25" s="126"/>
      <c r="I25" s="126"/>
      <c r="J25" s="126"/>
      <c r="K25" s="126"/>
      <c r="L25" s="126"/>
      <c r="M25" s="126"/>
      <c r="N25" s="126"/>
      <c r="O25" s="126"/>
    </row>
    <row r="26" spans="1:15" ht="12.75">
      <c r="A26" s="671" t="s">
        <v>171</v>
      </c>
      <c r="B26" s="671"/>
      <c r="C26" s="671"/>
      <c r="D26" s="671"/>
      <c r="E26" s="671"/>
      <c r="F26" s="671"/>
      <c r="G26" s="671"/>
      <c r="H26" s="126"/>
      <c r="I26" s="126"/>
      <c r="J26" s="672" t="s">
        <v>899</v>
      </c>
      <c r="K26" s="672"/>
      <c r="L26" s="672"/>
      <c r="M26" s="672"/>
      <c r="N26" s="672"/>
      <c r="O26" s="672"/>
    </row>
    <row r="27" spans="1:15" ht="3" customHeight="1">
      <c r="A27" s="700" t="s">
        <v>172</v>
      </c>
      <c r="B27" s="700"/>
      <c r="C27" s="700"/>
      <c r="D27" s="700"/>
      <c r="E27" s="700"/>
      <c r="F27" s="700"/>
      <c r="G27" s="700"/>
      <c r="H27" s="700"/>
      <c r="I27" s="700"/>
      <c r="J27" s="700"/>
      <c r="K27" s="700"/>
      <c r="L27" s="701"/>
      <c r="M27" s="701"/>
      <c r="N27" s="193"/>
      <c r="O27" s="193"/>
    </row>
    <row r="28" spans="1:15" ht="0.75" customHeight="1" hidden="1">
      <c r="A28" s="700"/>
      <c r="B28" s="700"/>
      <c r="C28" s="700"/>
      <c r="D28" s="700"/>
      <c r="E28" s="700"/>
      <c r="F28" s="700"/>
      <c r="G28" s="700"/>
      <c r="H28" s="700"/>
      <c r="I28" s="700"/>
      <c r="J28" s="700"/>
      <c r="K28" s="700"/>
      <c r="L28" s="126"/>
      <c r="M28" s="126"/>
      <c r="N28" s="126"/>
      <c r="O28" s="126"/>
    </row>
    <row r="29" spans="1:15" ht="9" customHeight="1">
      <c r="A29" s="700"/>
      <c r="B29" s="700"/>
      <c r="C29" s="700"/>
      <c r="D29" s="700"/>
      <c r="E29" s="700"/>
      <c r="F29" s="700"/>
      <c r="G29" s="700"/>
      <c r="H29" s="700"/>
      <c r="I29" s="700"/>
      <c r="J29" s="700"/>
      <c r="K29" s="700"/>
      <c r="L29" s="126"/>
      <c r="M29" s="126"/>
      <c r="N29" s="126"/>
      <c r="O29" s="126"/>
    </row>
    <row r="30" spans="1:15" ht="10.5" customHeight="1">
      <c r="A30" s="671" t="s">
        <v>173</v>
      </c>
      <c r="B30" s="671"/>
      <c r="C30" s="671"/>
      <c r="D30" s="671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2:15" ht="12.75"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ht="12" customHeight="1"/>
    <row r="33" ht="12.75" hidden="1"/>
    <row r="34" ht="18" customHeight="1"/>
  </sheetData>
  <mergeCells count="89">
    <mergeCell ref="A30:D30"/>
    <mergeCell ref="P15:P17"/>
    <mergeCell ref="A18:A20"/>
    <mergeCell ref="B18:B20"/>
    <mergeCell ref="C18:C20"/>
    <mergeCell ref="D18:D20"/>
    <mergeCell ref="F18:F20"/>
    <mergeCell ref="G18:G20"/>
    <mergeCell ref="E21:E23"/>
    <mergeCell ref="F21:F23"/>
    <mergeCell ref="G21:G23"/>
    <mergeCell ref="P18:P20"/>
    <mergeCell ref="H18:H20"/>
    <mergeCell ref="A27:K29"/>
    <mergeCell ref="L27:M27"/>
    <mergeCell ref="K24:L24"/>
    <mergeCell ref="A24:E24"/>
    <mergeCell ref="J18:J20"/>
    <mergeCell ref="O18:O20"/>
    <mergeCell ref="N18:N20"/>
    <mergeCell ref="M18:M20"/>
    <mergeCell ref="E12:E14"/>
    <mergeCell ref="A15:A17"/>
    <mergeCell ref="C15:C17"/>
    <mergeCell ref="B15:B17"/>
    <mergeCell ref="D15:D17"/>
    <mergeCell ref="E15:E17"/>
    <mergeCell ref="P21:P23"/>
    <mergeCell ref="A4:A6"/>
    <mergeCell ref="A9:A11"/>
    <mergeCell ref="P4:P6"/>
    <mergeCell ref="H5:M5"/>
    <mergeCell ref="J12:J14"/>
    <mergeCell ref="M12:M14"/>
    <mergeCell ref="P12:P14"/>
    <mergeCell ref="A12:A14"/>
    <mergeCell ref="B12:B14"/>
    <mergeCell ref="C9:C11"/>
    <mergeCell ref="E9:E11"/>
    <mergeCell ref="A3:P3"/>
    <mergeCell ref="H12:H14"/>
    <mergeCell ref="C12:C14"/>
    <mergeCell ref="D12:D14"/>
    <mergeCell ref="F12:F14"/>
    <mergeCell ref="N12:N14"/>
    <mergeCell ref="O12:O14"/>
    <mergeCell ref="G12:G14"/>
    <mergeCell ref="J2:P2"/>
    <mergeCell ref="B4:B6"/>
    <mergeCell ref="C4:C6"/>
    <mergeCell ref="B9:B11"/>
    <mergeCell ref="N9:N11"/>
    <mergeCell ref="O9:O11"/>
    <mergeCell ref="P9:P11"/>
    <mergeCell ref="M9:M11"/>
    <mergeCell ref="D4:D6"/>
    <mergeCell ref="D9:D11"/>
    <mergeCell ref="F4:F6"/>
    <mergeCell ref="E4:E6"/>
    <mergeCell ref="G5:G6"/>
    <mergeCell ref="H9:H11"/>
    <mergeCell ref="F9:F11"/>
    <mergeCell ref="G9:G11"/>
    <mergeCell ref="J9:J11"/>
    <mergeCell ref="G4:O4"/>
    <mergeCell ref="N5:N6"/>
    <mergeCell ref="O5:O6"/>
    <mergeCell ref="K7:L7"/>
    <mergeCell ref="K6:L6"/>
    <mergeCell ref="A26:G26"/>
    <mergeCell ref="J26:O26"/>
    <mergeCell ref="N21:N23"/>
    <mergeCell ref="O21:O23"/>
    <mergeCell ref="A21:A23"/>
    <mergeCell ref="B21:B23"/>
    <mergeCell ref="C21:C23"/>
    <mergeCell ref="M21:M23"/>
    <mergeCell ref="J21:J23"/>
    <mergeCell ref="D21:D23"/>
    <mergeCell ref="H21:H23"/>
    <mergeCell ref="N15:N17"/>
    <mergeCell ref="O15:O17"/>
    <mergeCell ref="A25:G25"/>
    <mergeCell ref="F15:F17"/>
    <mergeCell ref="G15:G17"/>
    <mergeCell ref="E18:E20"/>
    <mergeCell ref="H15:H17"/>
    <mergeCell ref="J15:J17"/>
    <mergeCell ref="M15:M1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F2" sqref="F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7.375" style="0" customWidth="1"/>
  </cols>
  <sheetData>
    <row r="2" spans="6:14" ht="17.25" customHeight="1">
      <c r="F2" s="69"/>
      <c r="J2" s="691" t="s">
        <v>80</v>
      </c>
      <c r="K2" s="691"/>
      <c r="L2" s="691"/>
      <c r="M2" s="691"/>
      <c r="N2" s="691"/>
    </row>
    <row r="3" spans="1:14" ht="27" customHeight="1">
      <c r="A3" s="696" t="s">
        <v>155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</row>
    <row r="4" spans="1:14" ht="24.75" customHeight="1">
      <c r="A4" s="708" t="s">
        <v>482</v>
      </c>
      <c r="B4" s="717" t="s">
        <v>415</v>
      </c>
      <c r="C4" s="717" t="s">
        <v>416</v>
      </c>
      <c r="D4" s="714" t="s">
        <v>905</v>
      </c>
      <c r="E4" s="719" t="s">
        <v>590</v>
      </c>
      <c r="F4" s="719" t="s">
        <v>156</v>
      </c>
      <c r="G4" s="718" t="s">
        <v>488</v>
      </c>
      <c r="H4" s="718"/>
      <c r="I4" s="718"/>
      <c r="J4" s="718"/>
      <c r="K4" s="718"/>
      <c r="L4" s="718"/>
      <c r="M4" s="718"/>
      <c r="N4" s="708" t="s">
        <v>158</v>
      </c>
    </row>
    <row r="5" spans="1:14" ht="22.5" customHeight="1">
      <c r="A5" s="709"/>
      <c r="B5" s="717"/>
      <c r="C5" s="717"/>
      <c r="D5" s="715"/>
      <c r="E5" s="719"/>
      <c r="F5" s="719"/>
      <c r="G5" s="708" t="s">
        <v>157</v>
      </c>
      <c r="H5" s="711" t="s">
        <v>161</v>
      </c>
      <c r="I5" s="712"/>
      <c r="J5" s="712"/>
      <c r="K5" s="712"/>
      <c r="L5" s="712"/>
      <c r="M5" s="713"/>
      <c r="N5" s="709"/>
    </row>
    <row r="6" spans="1:14" ht="58.5" customHeight="1">
      <c r="A6" s="710"/>
      <c r="B6" s="717"/>
      <c r="C6" s="717"/>
      <c r="D6" s="716"/>
      <c r="E6" s="719"/>
      <c r="F6" s="719"/>
      <c r="G6" s="710"/>
      <c r="H6" s="369" t="s">
        <v>160</v>
      </c>
      <c r="I6" s="369" t="s">
        <v>591</v>
      </c>
      <c r="J6" s="369" t="s">
        <v>159</v>
      </c>
      <c r="K6" s="706" t="s">
        <v>700</v>
      </c>
      <c r="L6" s="707"/>
      <c r="M6" s="369" t="s">
        <v>162</v>
      </c>
      <c r="N6" s="710"/>
    </row>
    <row r="7" spans="1:14" ht="12.75">
      <c r="A7" s="10">
        <v>1</v>
      </c>
      <c r="B7" s="125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25">
        <v>8</v>
      </c>
      <c r="J7" s="125">
        <v>9</v>
      </c>
      <c r="K7" s="684">
        <v>10</v>
      </c>
      <c r="L7" s="685"/>
      <c r="M7" s="125">
        <v>11</v>
      </c>
      <c r="N7" s="125">
        <v>12</v>
      </c>
    </row>
    <row r="8" spans="1:14" ht="47.25" customHeight="1" hidden="1">
      <c r="A8" s="6"/>
      <c r="B8" s="137">
        <v>600</v>
      </c>
      <c r="C8" s="137">
        <v>60014</v>
      </c>
      <c r="D8" s="137"/>
      <c r="E8" s="132" t="s">
        <v>592</v>
      </c>
      <c r="F8" s="71" t="e">
        <f>G8+#REF!+#REF!</f>
        <v>#REF!</v>
      </c>
      <c r="G8" s="71">
        <f>H8+I8+L8+J8</f>
        <v>0</v>
      </c>
      <c r="H8" s="71"/>
      <c r="I8" s="71"/>
      <c r="J8" s="71"/>
      <c r="K8" s="71"/>
      <c r="L8" s="71"/>
      <c r="M8" s="71"/>
      <c r="N8" s="138" t="s">
        <v>588</v>
      </c>
    </row>
    <row r="9" spans="1:14" ht="15.75" customHeight="1">
      <c r="A9" s="673" t="s">
        <v>493</v>
      </c>
      <c r="B9" s="676">
        <v>600</v>
      </c>
      <c r="C9" s="676">
        <v>60014</v>
      </c>
      <c r="D9" s="676">
        <v>6050</v>
      </c>
      <c r="E9" s="668" t="s">
        <v>166</v>
      </c>
      <c r="F9" s="664">
        <v>100000</v>
      </c>
      <c r="G9" s="664">
        <v>100000</v>
      </c>
      <c r="H9" s="664">
        <v>100000</v>
      </c>
      <c r="I9" s="189">
        <v>0</v>
      </c>
      <c r="J9" s="664">
        <v>0</v>
      </c>
      <c r="K9" s="371" t="s">
        <v>436</v>
      </c>
      <c r="L9" s="364">
        <v>0</v>
      </c>
      <c r="M9" s="664">
        <v>0</v>
      </c>
      <c r="N9" s="668" t="s">
        <v>588</v>
      </c>
    </row>
    <row r="10" spans="1:14" ht="13.5" customHeight="1">
      <c r="A10" s="674"/>
      <c r="B10" s="677"/>
      <c r="C10" s="677"/>
      <c r="D10" s="677"/>
      <c r="E10" s="669"/>
      <c r="F10" s="665"/>
      <c r="G10" s="665"/>
      <c r="H10" s="665"/>
      <c r="I10" s="189"/>
      <c r="J10" s="665"/>
      <c r="K10" s="371" t="s">
        <v>438</v>
      </c>
      <c r="L10" s="364">
        <v>0</v>
      </c>
      <c r="M10" s="665"/>
      <c r="N10" s="669"/>
    </row>
    <row r="11" spans="1:14" ht="15" customHeight="1">
      <c r="A11" s="675"/>
      <c r="B11" s="678"/>
      <c r="C11" s="678"/>
      <c r="D11" s="678"/>
      <c r="E11" s="670"/>
      <c r="F11" s="666"/>
      <c r="G11" s="666"/>
      <c r="H11" s="666"/>
      <c r="I11" s="189"/>
      <c r="J11" s="666"/>
      <c r="K11" s="371" t="s">
        <v>440</v>
      </c>
      <c r="L11" s="364">
        <v>0</v>
      </c>
      <c r="M11" s="666"/>
      <c r="N11" s="670"/>
    </row>
    <row r="12" spans="1:14" ht="15" customHeight="1">
      <c r="A12" s="673" t="s">
        <v>494</v>
      </c>
      <c r="B12" s="676">
        <v>600</v>
      </c>
      <c r="C12" s="676">
        <v>60014</v>
      </c>
      <c r="D12" s="676">
        <v>6050</v>
      </c>
      <c r="E12" s="668" t="s">
        <v>179</v>
      </c>
      <c r="F12" s="664">
        <v>100000</v>
      </c>
      <c r="G12" s="664">
        <f>H12+J12+L12+L13+L14</f>
        <v>100000</v>
      </c>
      <c r="H12" s="664">
        <v>40000</v>
      </c>
      <c r="I12" s="189"/>
      <c r="J12" s="664">
        <v>0</v>
      </c>
      <c r="K12" s="371" t="s">
        <v>436</v>
      </c>
      <c r="L12" s="364">
        <v>0</v>
      </c>
      <c r="M12" s="664">
        <v>0</v>
      </c>
      <c r="N12" s="668" t="s">
        <v>588</v>
      </c>
    </row>
    <row r="13" spans="1:14" ht="15" customHeight="1">
      <c r="A13" s="674"/>
      <c r="B13" s="677"/>
      <c r="C13" s="677"/>
      <c r="D13" s="677"/>
      <c r="E13" s="669"/>
      <c r="F13" s="665"/>
      <c r="G13" s="665"/>
      <c r="H13" s="665"/>
      <c r="I13" s="189"/>
      <c r="J13" s="665"/>
      <c r="K13" s="371" t="s">
        <v>438</v>
      </c>
      <c r="L13" s="364">
        <v>60000</v>
      </c>
      <c r="M13" s="665"/>
      <c r="N13" s="669"/>
    </row>
    <row r="14" spans="1:14" ht="15" customHeight="1">
      <c r="A14" s="675"/>
      <c r="B14" s="678"/>
      <c r="C14" s="678"/>
      <c r="D14" s="678"/>
      <c r="E14" s="670"/>
      <c r="F14" s="666"/>
      <c r="G14" s="666"/>
      <c r="H14" s="666"/>
      <c r="I14" s="189"/>
      <c r="J14" s="666"/>
      <c r="K14" s="371" t="s">
        <v>440</v>
      </c>
      <c r="L14" s="364">
        <v>0</v>
      </c>
      <c r="M14" s="666"/>
      <c r="N14" s="670"/>
    </row>
    <row r="15" spans="1:14" ht="15" customHeight="1">
      <c r="A15" s="673" t="s">
        <v>496</v>
      </c>
      <c r="B15" s="676">
        <v>600</v>
      </c>
      <c r="C15" s="676">
        <v>60014</v>
      </c>
      <c r="D15" s="676">
        <v>6050</v>
      </c>
      <c r="E15" s="668" t="s">
        <v>175</v>
      </c>
      <c r="F15" s="664">
        <v>100000</v>
      </c>
      <c r="G15" s="664">
        <f>H15+J15</f>
        <v>100000</v>
      </c>
      <c r="H15" s="664">
        <v>100000</v>
      </c>
      <c r="I15" s="189"/>
      <c r="J15" s="664">
        <v>0</v>
      </c>
      <c r="K15" s="371" t="s">
        <v>436</v>
      </c>
      <c r="L15" s="364">
        <v>0</v>
      </c>
      <c r="M15" s="664">
        <v>0</v>
      </c>
      <c r="N15" s="668" t="s">
        <v>588</v>
      </c>
    </row>
    <row r="16" spans="1:14" ht="13.5" customHeight="1">
      <c r="A16" s="674"/>
      <c r="B16" s="677"/>
      <c r="C16" s="677"/>
      <c r="D16" s="677"/>
      <c r="E16" s="669"/>
      <c r="F16" s="665"/>
      <c r="G16" s="665"/>
      <c r="H16" s="665"/>
      <c r="I16" s="189"/>
      <c r="J16" s="665"/>
      <c r="K16" s="371" t="s">
        <v>438</v>
      </c>
      <c r="L16" s="364">
        <v>0</v>
      </c>
      <c r="M16" s="665"/>
      <c r="N16" s="669"/>
    </row>
    <row r="17" spans="1:14" ht="13.5" customHeight="1">
      <c r="A17" s="675"/>
      <c r="B17" s="678"/>
      <c r="C17" s="678"/>
      <c r="D17" s="678"/>
      <c r="E17" s="670"/>
      <c r="F17" s="666"/>
      <c r="G17" s="666"/>
      <c r="H17" s="666"/>
      <c r="I17" s="189"/>
      <c r="J17" s="666"/>
      <c r="K17" s="371" t="s">
        <v>440</v>
      </c>
      <c r="L17" s="364">
        <v>0</v>
      </c>
      <c r="M17" s="666"/>
      <c r="N17" s="670"/>
    </row>
    <row r="18" spans="1:14" ht="26.25" customHeight="1">
      <c r="A18" s="711" t="s">
        <v>594</v>
      </c>
      <c r="B18" s="712"/>
      <c r="C18" s="712"/>
      <c r="D18" s="712"/>
      <c r="E18" s="713"/>
      <c r="F18" s="370">
        <f>F9+F12+F15</f>
        <v>300000</v>
      </c>
      <c r="G18" s="370">
        <f>G9+G12+G15</f>
        <v>300000</v>
      </c>
      <c r="H18" s="370">
        <f>H9+H12+H15</f>
        <v>240000</v>
      </c>
      <c r="I18" s="370">
        <f>I9+I15</f>
        <v>0</v>
      </c>
      <c r="J18" s="370">
        <f>J9+J15</f>
        <v>0</v>
      </c>
      <c r="K18" s="704">
        <f>L9+L10+L11+L12+L13+L14+L15+L16+L17</f>
        <v>60000</v>
      </c>
      <c r="L18" s="705"/>
      <c r="M18" s="370">
        <f>M9+M15</f>
        <v>0</v>
      </c>
      <c r="N18" s="370" t="s">
        <v>368</v>
      </c>
    </row>
    <row r="19" spans="1:15" ht="16.5" customHeight="1">
      <c r="A19" s="667" t="s">
        <v>170</v>
      </c>
      <c r="B19" s="667"/>
      <c r="C19" s="667"/>
      <c r="D19" s="667"/>
      <c r="E19" s="667"/>
      <c r="F19" s="667"/>
      <c r="G19" s="667"/>
      <c r="H19" s="126"/>
      <c r="I19" s="126"/>
      <c r="J19" s="126"/>
      <c r="K19" s="126"/>
      <c r="L19" s="126"/>
      <c r="M19" s="126"/>
      <c r="N19" s="126"/>
      <c r="O19" s="126"/>
    </row>
    <row r="20" spans="1:15" ht="12.75">
      <c r="A20" s="671" t="s">
        <v>171</v>
      </c>
      <c r="B20" s="671"/>
      <c r="C20" s="671"/>
      <c r="D20" s="671"/>
      <c r="E20" s="671"/>
      <c r="F20" s="671"/>
      <c r="G20" s="671"/>
      <c r="H20" s="126"/>
      <c r="I20" s="126"/>
      <c r="J20" s="701" t="s">
        <v>899</v>
      </c>
      <c r="K20" s="701"/>
      <c r="L20" s="701"/>
      <c r="M20" s="701"/>
      <c r="N20" s="701"/>
      <c r="O20" s="701"/>
    </row>
    <row r="21" spans="1:15" ht="3.75" customHeight="1">
      <c r="A21" s="700" t="s">
        <v>172</v>
      </c>
      <c r="B21" s="700"/>
      <c r="C21" s="700"/>
      <c r="D21" s="700"/>
      <c r="E21" s="700"/>
      <c r="F21" s="700"/>
      <c r="G21" s="700"/>
      <c r="H21" s="700"/>
      <c r="I21" s="700"/>
      <c r="J21" s="700"/>
      <c r="K21" s="700"/>
      <c r="L21" s="701"/>
      <c r="M21" s="701"/>
      <c r="N21" s="193"/>
      <c r="O21" s="193"/>
    </row>
    <row r="22" spans="1:15" ht="12.75" customHeight="1" hidden="1">
      <c r="A22" s="700"/>
      <c r="B22" s="700"/>
      <c r="C22" s="700"/>
      <c r="D22" s="700"/>
      <c r="E22" s="700"/>
      <c r="F22" s="700"/>
      <c r="G22" s="700"/>
      <c r="H22" s="700"/>
      <c r="I22" s="700"/>
      <c r="J22" s="700"/>
      <c r="K22" s="700"/>
      <c r="L22" s="126"/>
      <c r="M22" s="126"/>
      <c r="N22" s="126"/>
      <c r="O22" s="126"/>
    </row>
    <row r="23" spans="1:15" ht="9" customHeight="1">
      <c r="A23" s="700"/>
      <c r="B23" s="700"/>
      <c r="C23" s="700"/>
      <c r="D23" s="700"/>
      <c r="E23" s="700"/>
      <c r="F23" s="700"/>
      <c r="G23" s="700"/>
      <c r="H23" s="700"/>
      <c r="I23" s="700"/>
      <c r="J23" s="700"/>
      <c r="K23" s="700"/>
      <c r="L23" s="126"/>
      <c r="M23" s="126"/>
      <c r="N23" s="126"/>
      <c r="O23" s="126"/>
    </row>
    <row r="24" spans="1:15" ht="12.75">
      <c r="A24" s="671" t="s">
        <v>173</v>
      </c>
      <c r="B24" s="671"/>
      <c r="C24" s="671"/>
      <c r="D24" s="671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2:13" ht="12.75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</row>
    <row r="26" ht="12" customHeight="1"/>
    <row r="27" ht="12.75" hidden="1"/>
    <row r="28" ht="18" customHeight="1"/>
  </sheetData>
  <mergeCells count="55">
    <mergeCell ref="A18:E18"/>
    <mergeCell ref="J2:N2"/>
    <mergeCell ref="B4:B6"/>
    <mergeCell ref="C4:C6"/>
    <mergeCell ref="G4:M4"/>
    <mergeCell ref="F4:F6"/>
    <mergeCell ref="E4:E6"/>
    <mergeCell ref="G5:G6"/>
    <mergeCell ref="A3:N3"/>
    <mergeCell ref="H9:H11"/>
    <mergeCell ref="K6:L6"/>
    <mergeCell ref="A4:A6"/>
    <mergeCell ref="N4:N6"/>
    <mergeCell ref="H5:M5"/>
    <mergeCell ref="D4:D6"/>
    <mergeCell ref="J9:J11"/>
    <mergeCell ref="M9:M11"/>
    <mergeCell ref="N9:N11"/>
    <mergeCell ref="A9:A11"/>
    <mergeCell ref="B9:B11"/>
    <mergeCell ref="C9:C11"/>
    <mergeCell ref="D9:D11"/>
    <mergeCell ref="E9:E11"/>
    <mergeCell ref="F9:F11"/>
    <mergeCell ref="G9:G11"/>
    <mergeCell ref="F15:F17"/>
    <mergeCell ref="G15:G17"/>
    <mergeCell ref="A15:A17"/>
    <mergeCell ref="C15:C17"/>
    <mergeCell ref="B15:B17"/>
    <mergeCell ref="N12:N14"/>
    <mergeCell ref="H15:H17"/>
    <mergeCell ref="J15:J17"/>
    <mergeCell ref="M15:M17"/>
    <mergeCell ref="N15:N17"/>
    <mergeCell ref="A21:K23"/>
    <mergeCell ref="L21:M21"/>
    <mergeCell ref="A24:D24"/>
    <mergeCell ref="E12:E14"/>
    <mergeCell ref="G12:G14"/>
    <mergeCell ref="H12:H14"/>
    <mergeCell ref="J12:J14"/>
    <mergeCell ref="M12:M14"/>
    <mergeCell ref="D15:D17"/>
    <mergeCell ref="E15:E17"/>
    <mergeCell ref="K7:L7"/>
    <mergeCell ref="K18:L18"/>
    <mergeCell ref="A19:G19"/>
    <mergeCell ref="A20:G20"/>
    <mergeCell ref="J20:O20"/>
    <mergeCell ref="A12:A14"/>
    <mergeCell ref="B12:B14"/>
    <mergeCell ref="C12:C14"/>
    <mergeCell ref="D12:D14"/>
    <mergeCell ref="F12:F1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0" sqref="A10:E10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26.125" style="0" customWidth="1"/>
    <col min="7" max="7" width="13.625" style="0" customWidth="1"/>
    <col min="8" max="8" width="9.75390625" style="0" customWidth="1"/>
    <col min="9" max="9" width="15.00390625" style="0" customWidth="1"/>
  </cols>
  <sheetData>
    <row r="1" spans="8:9" ht="65.25" customHeight="1">
      <c r="H1" s="728" t="s">
        <v>918</v>
      </c>
      <c r="I1" s="728"/>
    </row>
    <row r="3" ht="12" customHeight="1"/>
    <row r="4" spans="1:16" s="203" customFormat="1" ht="15" customHeight="1">
      <c r="A4" s="726" t="s">
        <v>182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</row>
    <row r="5" ht="23.25" customHeight="1" thickBot="1">
      <c r="I5" s="126" t="s">
        <v>581</v>
      </c>
    </row>
    <row r="6" spans="1:9" s="72" customFormat="1" ht="36.75" customHeight="1" thickBot="1">
      <c r="A6" s="376" t="s">
        <v>582</v>
      </c>
      <c r="B6" s="376" t="s">
        <v>415</v>
      </c>
      <c r="C6" s="377" t="s">
        <v>416</v>
      </c>
      <c r="D6" s="377" t="s">
        <v>905</v>
      </c>
      <c r="E6" s="378" t="s">
        <v>583</v>
      </c>
      <c r="F6" s="729" t="s">
        <v>176</v>
      </c>
      <c r="G6" s="729"/>
      <c r="H6" s="730" t="s">
        <v>177</v>
      </c>
      <c r="I6" s="730"/>
    </row>
    <row r="7" spans="1:9" s="208" customFormat="1" ht="9.75">
      <c r="A7" s="204">
        <v>1</v>
      </c>
      <c r="B7" s="205">
        <v>2</v>
      </c>
      <c r="C7" s="206">
        <v>3</v>
      </c>
      <c r="D7" s="206">
        <v>4</v>
      </c>
      <c r="E7" s="207">
        <v>5</v>
      </c>
      <c r="F7" s="731">
        <v>6</v>
      </c>
      <c r="G7" s="731"/>
      <c r="H7" s="731">
        <v>7</v>
      </c>
      <c r="I7" s="731"/>
    </row>
    <row r="8" spans="1:9" ht="57" customHeight="1">
      <c r="A8" s="380" t="s">
        <v>493</v>
      </c>
      <c r="B8" s="382">
        <v>750</v>
      </c>
      <c r="C8" s="380">
        <v>75020</v>
      </c>
      <c r="D8" s="380">
        <v>6649</v>
      </c>
      <c r="E8" s="381" t="s">
        <v>584</v>
      </c>
      <c r="F8" s="722">
        <v>0</v>
      </c>
      <c r="G8" s="723"/>
      <c r="H8" s="722">
        <v>42000</v>
      </c>
      <c r="I8" s="723"/>
    </row>
    <row r="9" spans="1:9" ht="54" customHeight="1" thickBot="1">
      <c r="A9" s="380" t="s">
        <v>494</v>
      </c>
      <c r="B9" s="382">
        <v>754</v>
      </c>
      <c r="C9" s="380">
        <v>75410</v>
      </c>
      <c r="D9" s="380">
        <v>6649</v>
      </c>
      <c r="E9" s="379" t="s">
        <v>178</v>
      </c>
      <c r="F9" s="722">
        <v>0</v>
      </c>
      <c r="G9" s="723"/>
      <c r="H9" s="724">
        <v>50223</v>
      </c>
      <c r="I9" s="725"/>
    </row>
    <row r="10" spans="1:9" ht="22.5" customHeight="1" thickBot="1">
      <c r="A10" s="720" t="s">
        <v>594</v>
      </c>
      <c r="B10" s="732"/>
      <c r="C10" s="732"/>
      <c r="D10" s="732"/>
      <c r="E10" s="721"/>
      <c r="F10" s="720">
        <f>F8+F9</f>
        <v>0</v>
      </c>
      <c r="G10" s="721"/>
      <c r="H10" s="720">
        <f>H8+H9</f>
        <v>92223</v>
      </c>
      <c r="I10" s="721"/>
    </row>
    <row r="11" ht="12.75" hidden="1"/>
    <row r="13" spans="7:9" ht="12.75">
      <c r="G13" s="727" t="s">
        <v>899</v>
      </c>
      <c r="H13" s="727"/>
      <c r="I13" s="727"/>
    </row>
    <row r="14" spans="7:9" ht="24" customHeight="1">
      <c r="G14" s="727"/>
      <c r="H14" s="727"/>
      <c r="I14" s="727"/>
    </row>
  </sheetData>
  <mergeCells count="15">
    <mergeCell ref="A4:P4"/>
    <mergeCell ref="G13:I13"/>
    <mergeCell ref="G14:I14"/>
    <mergeCell ref="H1:I1"/>
    <mergeCell ref="F10:G10"/>
    <mergeCell ref="F6:G6"/>
    <mergeCell ref="H6:I6"/>
    <mergeCell ref="F7:G7"/>
    <mergeCell ref="H7:I7"/>
    <mergeCell ref="A10:E10"/>
    <mergeCell ref="H10:I10"/>
    <mergeCell ref="F9:G9"/>
    <mergeCell ref="H9:I9"/>
    <mergeCell ref="H8:I8"/>
    <mergeCell ref="F8:G8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74"/>
  <sheetViews>
    <sheetView tabSelected="1" workbookViewId="0" topLeftCell="B31">
      <selection activeCell="M50" sqref="M50"/>
    </sheetView>
  </sheetViews>
  <sheetFormatPr defaultColWidth="9.00390625" defaultRowHeight="12.75"/>
  <cols>
    <col min="1" max="1" width="3.625" style="6" customWidth="1"/>
    <col min="2" max="2" width="22.875" style="0" customWidth="1"/>
    <col min="3" max="3" width="10.875" style="0" customWidth="1"/>
    <col min="4" max="4" width="10.75390625" style="0" customWidth="1"/>
    <col min="5" max="5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ht="12.75">
      <c r="A1" s="30"/>
    </row>
    <row r="2" spans="1:16" ht="26.25" customHeight="1">
      <c r="A2" s="30"/>
      <c r="N2" s="739" t="s">
        <v>82</v>
      </c>
      <c r="O2" s="739"/>
      <c r="P2" s="739"/>
    </row>
    <row r="3" ht="3" customHeight="1">
      <c r="A3" s="30"/>
    </row>
    <row r="4" ht="15">
      <c r="A4" s="194" t="s">
        <v>186</v>
      </c>
    </row>
    <row r="5" ht="5.25" customHeight="1">
      <c r="A5" s="30"/>
    </row>
    <row r="6" ht="9.75" customHeight="1">
      <c r="A6" s="30"/>
    </row>
    <row r="7" spans="1:16" ht="12.75" customHeight="1">
      <c r="A7" s="740" t="s">
        <v>482</v>
      </c>
      <c r="B7" s="741" t="s">
        <v>553</v>
      </c>
      <c r="C7" s="741" t="s">
        <v>554</v>
      </c>
      <c r="D7" s="741" t="s">
        <v>194</v>
      </c>
      <c r="E7" s="750" t="s">
        <v>475</v>
      </c>
      <c r="F7" s="752"/>
      <c r="G7" s="750" t="s">
        <v>555</v>
      </c>
      <c r="H7" s="751"/>
      <c r="I7" s="751"/>
      <c r="J7" s="751"/>
      <c r="K7" s="751"/>
      <c r="L7" s="751"/>
      <c r="M7" s="751"/>
      <c r="N7" s="751"/>
      <c r="O7" s="751"/>
      <c r="P7" s="752"/>
    </row>
    <row r="8" spans="1:16" ht="12.75" customHeight="1">
      <c r="A8" s="740"/>
      <c r="B8" s="742"/>
      <c r="C8" s="742"/>
      <c r="D8" s="742"/>
      <c r="E8" s="741" t="s">
        <v>192</v>
      </c>
      <c r="F8" s="741" t="s">
        <v>556</v>
      </c>
      <c r="G8" s="750" t="s">
        <v>202</v>
      </c>
      <c r="H8" s="751"/>
      <c r="I8" s="751"/>
      <c r="J8" s="751"/>
      <c r="K8" s="751"/>
      <c r="L8" s="751"/>
      <c r="M8" s="751"/>
      <c r="N8" s="751"/>
      <c r="O8" s="751"/>
      <c r="P8" s="752"/>
    </row>
    <row r="9" spans="1:16" ht="12.75" customHeight="1">
      <c r="A9" s="740"/>
      <c r="B9" s="742"/>
      <c r="C9" s="742"/>
      <c r="D9" s="742"/>
      <c r="E9" s="742"/>
      <c r="F9" s="742"/>
      <c r="G9" s="741" t="s">
        <v>557</v>
      </c>
      <c r="H9" s="753" t="s">
        <v>558</v>
      </c>
      <c r="I9" s="754"/>
      <c r="J9" s="754"/>
      <c r="K9" s="754"/>
      <c r="L9" s="754"/>
      <c r="M9" s="754"/>
      <c r="N9" s="754"/>
      <c r="O9" s="754"/>
      <c r="P9" s="755"/>
    </row>
    <row r="10" spans="1:16" ht="12.75" customHeight="1">
      <c r="A10" s="740"/>
      <c r="B10" s="742"/>
      <c r="C10" s="742"/>
      <c r="D10" s="742"/>
      <c r="E10" s="742"/>
      <c r="F10" s="742"/>
      <c r="G10" s="742"/>
      <c r="H10" s="750" t="s">
        <v>559</v>
      </c>
      <c r="I10" s="751"/>
      <c r="J10" s="751"/>
      <c r="K10" s="752"/>
      <c r="L10" s="744" t="s">
        <v>556</v>
      </c>
      <c r="M10" s="745"/>
      <c r="N10" s="745"/>
      <c r="O10" s="745"/>
      <c r="P10" s="746"/>
    </row>
    <row r="11" spans="1:16" ht="12.75" customHeight="1">
      <c r="A11" s="740"/>
      <c r="B11" s="742"/>
      <c r="C11" s="742"/>
      <c r="D11" s="742"/>
      <c r="E11" s="742"/>
      <c r="F11" s="742"/>
      <c r="G11" s="742"/>
      <c r="H11" s="741" t="s">
        <v>560</v>
      </c>
      <c r="I11" s="747" t="s">
        <v>561</v>
      </c>
      <c r="J11" s="748"/>
      <c r="K11" s="749"/>
      <c r="L11" s="741" t="s">
        <v>562</v>
      </c>
      <c r="M11" s="744" t="s">
        <v>561</v>
      </c>
      <c r="N11" s="745"/>
      <c r="O11" s="745"/>
      <c r="P11" s="746"/>
    </row>
    <row r="12" spans="1:16" ht="36" customHeight="1">
      <c r="A12" s="740"/>
      <c r="B12" s="743"/>
      <c r="C12" s="743"/>
      <c r="D12" s="743"/>
      <c r="E12" s="743"/>
      <c r="F12" s="743"/>
      <c r="G12" s="743"/>
      <c r="H12" s="743"/>
      <c r="I12" s="464" t="s">
        <v>563</v>
      </c>
      <c r="J12" s="464" t="s">
        <v>564</v>
      </c>
      <c r="K12" s="464" t="s">
        <v>565</v>
      </c>
      <c r="L12" s="743"/>
      <c r="M12" s="464" t="s">
        <v>566</v>
      </c>
      <c r="N12" s="464" t="s">
        <v>563</v>
      </c>
      <c r="O12" s="464" t="s">
        <v>564</v>
      </c>
      <c r="P12" s="464" t="s">
        <v>565</v>
      </c>
    </row>
    <row r="13" spans="1:16" s="195" customFormat="1" ht="12" customHeight="1">
      <c r="A13" s="41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1">
        <v>7</v>
      </c>
      <c r="H13" s="41">
        <v>8</v>
      </c>
      <c r="I13" s="41">
        <v>9</v>
      </c>
      <c r="J13" s="41">
        <v>10</v>
      </c>
      <c r="K13" s="41">
        <v>11</v>
      </c>
      <c r="L13" s="41">
        <v>12</v>
      </c>
      <c r="M13" s="41">
        <v>13</v>
      </c>
      <c r="N13" s="41">
        <v>14</v>
      </c>
      <c r="O13" s="41">
        <v>15</v>
      </c>
      <c r="P13" s="41">
        <v>16</v>
      </c>
    </row>
    <row r="14" spans="1:16" s="195" customFormat="1" ht="12" customHeight="1">
      <c r="A14" s="182" t="s">
        <v>493</v>
      </c>
      <c r="B14" s="384" t="s">
        <v>187</v>
      </c>
      <c r="C14" s="385"/>
      <c r="D14" s="385">
        <f>D18+D26</f>
        <v>13455990</v>
      </c>
      <c r="E14" s="385">
        <f aca="true" t="shared" si="0" ref="E14:P14">E18+E26</f>
        <v>5248426</v>
      </c>
      <c r="F14" s="385">
        <f t="shared" si="0"/>
        <v>8207564</v>
      </c>
      <c r="G14" s="385">
        <f t="shared" si="0"/>
        <v>6330947</v>
      </c>
      <c r="H14" s="385">
        <f t="shared" si="0"/>
        <v>2540637</v>
      </c>
      <c r="I14" s="385">
        <f t="shared" si="0"/>
        <v>334439</v>
      </c>
      <c r="J14" s="385">
        <f t="shared" si="0"/>
        <v>0</v>
      </c>
      <c r="K14" s="385">
        <f t="shared" si="0"/>
        <v>2206198</v>
      </c>
      <c r="L14" s="385">
        <f t="shared" si="0"/>
        <v>3790310</v>
      </c>
      <c r="M14" s="385">
        <f t="shared" si="0"/>
        <v>3790310</v>
      </c>
      <c r="N14" s="385">
        <f t="shared" si="0"/>
        <v>0</v>
      </c>
      <c r="O14" s="385">
        <f t="shared" si="0"/>
        <v>0</v>
      </c>
      <c r="P14" s="385">
        <f t="shared" si="0"/>
        <v>0</v>
      </c>
    </row>
    <row r="15" spans="1:16" s="30" customFormat="1" ht="13.5" customHeight="1">
      <c r="A15" s="756" t="s">
        <v>567</v>
      </c>
      <c r="B15" s="733" t="s">
        <v>573</v>
      </c>
      <c r="C15" s="734"/>
      <c r="D15" s="734"/>
      <c r="E15" s="734"/>
      <c r="F15" s="734"/>
      <c r="G15" s="734"/>
      <c r="H15" s="734"/>
      <c r="I15" s="734"/>
      <c r="J15" s="734"/>
      <c r="K15" s="734"/>
      <c r="L15" s="734"/>
      <c r="M15" s="734"/>
      <c r="N15" s="734"/>
      <c r="O15" s="734"/>
      <c r="P15" s="735"/>
    </row>
    <row r="16" spans="1:16" s="30" customFormat="1" ht="12.75">
      <c r="A16" s="756"/>
      <c r="B16" s="736" t="s">
        <v>574</v>
      </c>
      <c r="C16" s="737"/>
      <c r="D16" s="737"/>
      <c r="E16" s="737"/>
      <c r="F16" s="737"/>
      <c r="G16" s="737"/>
      <c r="H16" s="737"/>
      <c r="I16" s="737"/>
      <c r="J16" s="737"/>
      <c r="K16" s="737"/>
      <c r="L16" s="737"/>
      <c r="M16" s="737"/>
      <c r="N16" s="737"/>
      <c r="O16" s="737"/>
      <c r="P16" s="738"/>
    </row>
    <row r="17" spans="1:16" s="30" customFormat="1" ht="12.75">
      <c r="A17" s="756"/>
      <c r="B17" s="736" t="s">
        <v>568</v>
      </c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8"/>
    </row>
    <row r="18" spans="1:16" s="30" customFormat="1" ht="12.75">
      <c r="A18" s="756"/>
      <c r="B18" s="196" t="s">
        <v>569</v>
      </c>
      <c r="C18" s="196" t="s">
        <v>570</v>
      </c>
      <c r="D18" s="196">
        <f aca="true" t="shared" si="1" ref="D18:P18">D19+D20+D21</f>
        <v>6475990</v>
      </c>
      <c r="E18" s="196">
        <f t="shared" si="1"/>
        <v>1871951</v>
      </c>
      <c r="F18" s="196">
        <f t="shared" si="1"/>
        <v>4604039</v>
      </c>
      <c r="G18" s="196">
        <f t="shared" si="1"/>
        <v>2232728</v>
      </c>
      <c r="H18" s="196">
        <f t="shared" si="1"/>
        <v>558182</v>
      </c>
      <c r="I18" s="196">
        <f t="shared" si="1"/>
        <v>334439</v>
      </c>
      <c r="J18" s="196">
        <f t="shared" si="1"/>
        <v>0</v>
      </c>
      <c r="K18" s="196">
        <f t="shared" si="1"/>
        <v>223743</v>
      </c>
      <c r="L18" s="196">
        <f t="shared" si="1"/>
        <v>1674546</v>
      </c>
      <c r="M18" s="196">
        <f t="shared" si="1"/>
        <v>1674546</v>
      </c>
      <c r="N18" s="196">
        <f t="shared" si="1"/>
        <v>0</v>
      </c>
      <c r="O18" s="196">
        <f t="shared" si="1"/>
        <v>0</v>
      </c>
      <c r="P18" s="196">
        <f t="shared" si="1"/>
        <v>0</v>
      </c>
    </row>
    <row r="19" spans="1:16" s="30" customFormat="1" ht="12.75">
      <c r="A19" s="756"/>
      <c r="B19" s="130" t="s">
        <v>188</v>
      </c>
      <c r="C19" s="14"/>
      <c r="D19" s="14">
        <v>4243262</v>
      </c>
      <c r="E19" s="14">
        <v>1313769</v>
      </c>
      <c r="F19" s="14">
        <v>2929493</v>
      </c>
      <c r="G19" s="14"/>
      <c r="H19" s="14"/>
      <c r="I19" s="15"/>
      <c r="J19" s="14">
        <v>0</v>
      </c>
      <c r="K19" s="14"/>
      <c r="L19" s="14"/>
      <c r="M19" s="14"/>
      <c r="N19" s="14">
        <v>0</v>
      </c>
      <c r="O19" s="14">
        <v>0</v>
      </c>
      <c r="P19" s="14">
        <v>0</v>
      </c>
    </row>
    <row r="20" spans="1:16" s="30" customFormat="1" ht="12.75">
      <c r="A20" s="756"/>
      <c r="B20" s="386" t="s">
        <v>571</v>
      </c>
      <c r="C20" s="325"/>
      <c r="D20" s="325">
        <f>E20+F20</f>
        <v>2232728</v>
      </c>
      <c r="E20" s="325">
        <v>558182</v>
      </c>
      <c r="F20" s="325">
        <v>1674546</v>
      </c>
      <c r="G20" s="325">
        <f>H20+L20</f>
        <v>2232728</v>
      </c>
      <c r="H20" s="325">
        <f>I20+J20+K20</f>
        <v>558182</v>
      </c>
      <c r="I20" s="325">
        <v>334439</v>
      </c>
      <c r="J20" s="325">
        <v>0</v>
      </c>
      <c r="K20" s="325">
        <v>223743</v>
      </c>
      <c r="L20" s="325">
        <f>M20+N20</f>
        <v>1674546</v>
      </c>
      <c r="M20" s="325">
        <v>1674546</v>
      </c>
      <c r="N20" s="325">
        <v>0</v>
      </c>
      <c r="O20" s="325">
        <v>0</v>
      </c>
      <c r="P20" s="325">
        <v>0</v>
      </c>
    </row>
    <row r="21" spans="1:16" s="30" customFormat="1" ht="12.75">
      <c r="A21" s="756"/>
      <c r="B21" s="14" t="s">
        <v>572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s="30" customFormat="1" ht="12.75">
      <c r="A22" s="756"/>
      <c r="B22" s="14" t="s">
        <v>163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30" customFormat="1" ht="12.75">
      <c r="A23" s="756"/>
      <c r="B23" s="733" t="s">
        <v>579</v>
      </c>
      <c r="C23" s="734"/>
      <c r="D23" s="734"/>
      <c r="E23" s="734"/>
      <c r="F23" s="734"/>
      <c r="G23" s="734"/>
      <c r="H23" s="734"/>
      <c r="I23" s="734"/>
      <c r="J23" s="734"/>
      <c r="K23" s="734"/>
      <c r="L23" s="734"/>
      <c r="M23" s="734"/>
      <c r="N23" s="734"/>
      <c r="O23" s="734"/>
      <c r="P23" s="735"/>
    </row>
    <row r="24" spans="1:16" s="30" customFormat="1" ht="12.75">
      <c r="A24" s="756"/>
      <c r="B24" s="736" t="s">
        <v>574</v>
      </c>
      <c r="C24" s="737"/>
      <c r="D24" s="737"/>
      <c r="E24" s="737"/>
      <c r="F24" s="737"/>
      <c r="G24" s="737"/>
      <c r="H24" s="737"/>
      <c r="I24" s="737"/>
      <c r="J24" s="737"/>
      <c r="K24" s="737"/>
      <c r="L24" s="737"/>
      <c r="M24" s="737"/>
      <c r="N24" s="737"/>
      <c r="O24" s="737"/>
      <c r="P24" s="738"/>
    </row>
    <row r="25" spans="1:16" s="30" customFormat="1" ht="12.75">
      <c r="A25" s="756"/>
      <c r="B25" s="736" t="s">
        <v>580</v>
      </c>
      <c r="C25" s="737"/>
      <c r="D25" s="737"/>
      <c r="E25" s="737"/>
      <c r="F25" s="737"/>
      <c r="G25" s="737"/>
      <c r="H25" s="737"/>
      <c r="I25" s="737"/>
      <c r="J25" s="737"/>
      <c r="K25" s="737"/>
      <c r="L25" s="737"/>
      <c r="M25" s="737"/>
      <c r="N25" s="737"/>
      <c r="O25" s="737"/>
      <c r="P25" s="738"/>
    </row>
    <row r="26" spans="1:16" s="30" customFormat="1" ht="12.75">
      <c r="A26" s="756"/>
      <c r="B26" s="196" t="s">
        <v>569</v>
      </c>
      <c r="C26" s="196" t="s">
        <v>196</v>
      </c>
      <c r="D26" s="196">
        <f>D27+D28+D29</f>
        <v>6980000</v>
      </c>
      <c r="E26" s="196">
        <f aca="true" t="shared" si="2" ref="E26:P26">E27+E28+E29</f>
        <v>3376475</v>
      </c>
      <c r="F26" s="196">
        <f t="shared" si="2"/>
        <v>3603525</v>
      </c>
      <c r="G26" s="196">
        <f t="shared" si="2"/>
        <v>4098219</v>
      </c>
      <c r="H26" s="196">
        <f t="shared" si="2"/>
        <v>1982455</v>
      </c>
      <c r="I26" s="196">
        <f t="shared" si="2"/>
        <v>0</v>
      </c>
      <c r="J26" s="196">
        <f t="shared" si="2"/>
        <v>0</v>
      </c>
      <c r="K26" s="196">
        <f t="shared" si="2"/>
        <v>1982455</v>
      </c>
      <c r="L26" s="196">
        <f t="shared" si="2"/>
        <v>2115764</v>
      </c>
      <c r="M26" s="196">
        <f t="shared" si="2"/>
        <v>2115764</v>
      </c>
      <c r="N26" s="196">
        <f t="shared" si="2"/>
        <v>0</v>
      </c>
      <c r="O26" s="196">
        <f t="shared" si="2"/>
        <v>0</v>
      </c>
      <c r="P26" s="196">
        <f t="shared" si="2"/>
        <v>0</v>
      </c>
    </row>
    <row r="27" spans="1:16" s="30" customFormat="1" ht="12.75">
      <c r="A27" s="756"/>
      <c r="B27" s="130" t="s">
        <v>188</v>
      </c>
      <c r="C27" s="14"/>
      <c r="D27" s="14">
        <f>E27+F27</f>
        <v>1628972</v>
      </c>
      <c r="E27" s="14">
        <v>788214</v>
      </c>
      <c r="F27" s="14">
        <v>840758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30" customFormat="1" ht="12.75">
      <c r="A28" s="756"/>
      <c r="B28" s="386" t="s">
        <v>571</v>
      </c>
      <c r="C28" s="325"/>
      <c r="D28" s="14">
        <f>E28+F28</f>
        <v>4098219</v>
      </c>
      <c r="E28" s="14">
        <f>H28</f>
        <v>1982455</v>
      </c>
      <c r="F28" s="14">
        <f>L28</f>
        <v>2115764</v>
      </c>
      <c r="G28" s="14">
        <f>H28+L28</f>
        <v>4098219</v>
      </c>
      <c r="H28" s="325">
        <f>I28+J28+K28</f>
        <v>1982455</v>
      </c>
      <c r="I28" s="325"/>
      <c r="J28" s="325"/>
      <c r="K28" s="325">
        <v>1982455</v>
      </c>
      <c r="L28" s="325">
        <f>M28+N28+O28+P28</f>
        <v>2115764</v>
      </c>
      <c r="M28" s="325">
        <v>2115764</v>
      </c>
      <c r="N28" s="325"/>
      <c r="O28" s="325"/>
      <c r="P28" s="325"/>
    </row>
    <row r="29" spans="1:16" s="30" customFormat="1" ht="12.75">
      <c r="A29" s="756"/>
      <c r="B29" s="14" t="s">
        <v>572</v>
      </c>
      <c r="C29" s="14"/>
      <c r="D29" s="14">
        <f>E29+F29</f>
        <v>1252809</v>
      </c>
      <c r="E29" s="14">
        <v>605806</v>
      </c>
      <c r="F29" s="14">
        <v>647003</v>
      </c>
      <c r="G29" s="14"/>
      <c r="H29" s="325"/>
      <c r="I29" s="14"/>
      <c r="J29" s="14"/>
      <c r="K29" s="14"/>
      <c r="L29" s="325"/>
      <c r="M29" s="14"/>
      <c r="N29" s="14"/>
      <c r="O29" s="14"/>
      <c r="P29" s="14"/>
    </row>
    <row r="30" spans="1:16" s="30" customFormat="1" ht="12.75">
      <c r="A30" s="756"/>
      <c r="B30" s="14" t="s">
        <v>163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s="30" customFormat="1" ht="12.75">
      <c r="A31" s="200" t="s">
        <v>494</v>
      </c>
      <c r="B31" s="201" t="s">
        <v>193</v>
      </c>
      <c r="C31" s="201"/>
      <c r="D31" s="201">
        <f>D35+D43</f>
        <v>926653</v>
      </c>
      <c r="E31" s="201">
        <f aca="true" t="shared" si="3" ref="E31:P31">E35+E43</f>
        <v>294870</v>
      </c>
      <c r="F31" s="201">
        <f t="shared" si="3"/>
        <v>631783</v>
      </c>
      <c r="G31" s="201">
        <f t="shared" si="3"/>
        <v>617786</v>
      </c>
      <c r="H31" s="201">
        <f t="shared" si="3"/>
        <v>190389</v>
      </c>
      <c r="I31" s="201">
        <f t="shared" si="3"/>
        <v>0</v>
      </c>
      <c r="J31" s="201">
        <f t="shared" si="3"/>
        <v>0</v>
      </c>
      <c r="K31" s="201">
        <f t="shared" si="3"/>
        <v>190389</v>
      </c>
      <c r="L31" s="201">
        <f t="shared" si="3"/>
        <v>427397</v>
      </c>
      <c r="M31" s="201">
        <f t="shared" si="3"/>
        <v>0</v>
      </c>
      <c r="N31" s="201">
        <f t="shared" si="3"/>
        <v>0</v>
      </c>
      <c r="O31" s="201">
        <f t="shared" si="3"/>
        <v>0</v>
      </c>
      <c r="P31" s="201">
        <f t="shared" si="3"/>
        <v>427397</v>
      </c>
    </row>
    <row r="32" spans="1:16" s="30" customFormat="1" ht="12.75">
      <c r="A32" s="756" t="s">
        <v>189</v>
      </c>
      <c r="B32" s="733" t="s">
        <v>197</v>
      </c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734"/>
      <c r="P32" s="735"/>
    </row>
    <row r="33" spans="1:16" s="30" customFormat="1" ht="12.75">
      <c r="A33" s="756"/>
      <c r="B33" s="736" t="s">
        <v>198</v>
      </c>
      <c r="C33" s="737"/>
      <c r="D33" s="737"/>
      <c r="E33" s="737"/>
      <c r="F33" s="737"/>
      <c r="G33" s="737"/>
      <c r="H33" s="737"/>
      <c r="I33" s="737"/>
      <c r="J33" s="737"/>
      <c r="K33" s="737"/>
      <c r="L33" s="737"/>
      <c r="M33" s="737"/>
      <c r="N33" s="737"/>
      <c r="O33" s="737"/>
      <c r="P33" s="738"/>
    </row>
    <row r="34" spans="1:16" s="30" customFormat="1" ht="12.75">
      <c r="A34" s="756"/>
      <c r="B34" s="736" t="s">
        <v>199</v>
      </c>
      <c r="C34" s="737"/>
      <c r="D34" s="737"/>
      <c r="E34" s="737"/>
      <c r="F34" s="737"/>
      <c r="G34" s="737"/>
      <c r="H34" s="737"/>
      <c r="I34" s="737"/>
      <c r="J34" s="737"/>
      <c r="K34" s="737"/>
      <c r="L34" s="737"/>
      <c r="M34" s="737"/>
      <c r="N34" s="737"/>
      <c r="O34" s="737"/>
      <c r="P34" s="738"/>
    </row>
    <row r="35" spans="1:16" s="30" customFormat="1" ht="12.75">
      <c r="A35" s="756"/>
      <c r="B35" s="196" t="s">
        <v>569</v>
      </c>
      <c r="C35" s="196" t="s">
        <v>195</v>
      </c>
      <c r="D35" s="196">
        <f>E35+F35</f>
        <v>597425</v>
      </c>
      <c r="E35" s="196">
        <f>E36+E37</f>
        <v>189517</v>
      </c>
      <c r="F35" s="196">
        <f>F36+F37</f>
        <v>407908</v>
      </c>
      <c r="G35" s="196">
        <f>H35+L35</f>
        <v>417256</v>
      </c>
      <c r="H35" s="196">
        <f>H36+H37</f>
        <v>126219</v>
      </c>
      <c r="I35" s="196">
        <f>I36+I37</f>
        <v>0</v>
      </c>
      <c r="J35" s="196">
        <f>J36+J37</f>
        <v>0</v>
      </c>
      <c r="K35" s="196">
        <f>K36+K37</f>
        <v>126219</v>
      </c>
      <c r="L35" s="196">
        <f>L36+L37+L38</f>
        <v>291037</v>
      </c>
      <c r="M35" s="196">
        <f>M36+M37+M38</f>
        <v>0</v>
      </c>
      <c r="N35" s="196">
        <f>N36+N37+N38</f>
        <v>0</v>
      </c>
      <c r="O35" s="196">
        <f>O36+O37+O38</f>
        <v>0</v>
      </c>
      <c r="P35" s="196">
        <f>P36+P37+P38</f>
        <v>291037</v>
      </c>
    </row>
    <row r="36" spans="1:16" s="30" customFormat="1" ht="12.75">
      <c r="A36" s="756"/>
      <c r="B36" s="130" t="s">
        <v>188</v>
      </c>
      <c r="C36" s="14"/>
      <c r="D36" s="325">
        <f>E36+F36</f>
        <v>180169</v>
      </c>
      <c r="E36" s="325">
        <v>63298</v>
      </c>
      <c r="F36" s="325">
        <v>116871</v>
      </c>
      <c r="G36" s="14"/>
      <c r="H36" s="325"/>
      <c r="I36" s="14"/>
      <c r="J36" s="14"/>
      <c r="K36" s="14"/>
      <c r="L36" s="325"/>
      <c r="M36" s="14">
        <v>0</v>
      </c>
      <c r="N36" s="14">
        <v>0</v>
      </c>
      <c r="O36" s="14">
        <v>0</v>
      </c>
      <c r="P36" s="14"/>
    </row>
    <row r="37" spans="1:16" s="30" customFormat="1" ht="12.75">
      <c r="A37" s="756"/>
      <c r="B37" s="386" t="s">
        <v>571</v>
      </c>
      <c r="C37" s="325"/>
      <c r="D37" s="325">
        <f>E37+F37</f>
        <v>417256</v>
      </c>
      <c r="E37" s="325">
        <f>H37</f>
        <v>126219</v>
      </c>
      <c r="F37" s="325">
        <f>L37</f>
        <v>291037</v>
      </c>
      <c r="G37" s="14">
        <f>H37+L37</f>
        <v>417256</v>
      </c>
      <c r="H37" s="325">
        <f>I37+J37+K37</f>
        <v>126219</v>
      </c>
      <c r="I37" s="325"/>
      <c r="J37" s="325"/>
      <c r="K37" s="325">
        <v>126219</v>
      </c>
      <c r="L37" s="325">
        <f>M37+N37+O37+P37</f>
        <v>291037</v>
      </c>
      <c r="M37" s="325">
        <v>0</v>
      </c>
      <c r="N37" s="325">
        <v>0</v>
      </c>
      <c r="O37" s="325">
        <v>0</v>
      </c>
      <c r="P37" s="325">
        <v>291037</v>
      </c>
    </row>
    <row r="38" spans="1:16" s="30" customFormat="1" ht="12.75">
      <c r="A38" s="756"/>
      <c r="B38" s="14" t="s">
        <v>572</v>
      </c>
      <c r="C38" s="14"/>
      <c r="D38" s="14"/>
      <c r="E38" s="14"/>
      <c r="F38" s="14"/>
      <c r="G38" s="14"/>
      <c r="H38" s="14"/>
      <c r="I38" s="14"/>
      <c r="J38" s="14"/>
      <c r="K38" s="14"/>
      <c r="L38" s="325">
        <f>M38+N38+O38+P38</f>
        <v>0</v>
      </c>
      <c r="M38" s="14"/>
      <c r="N38" s="14"/>
      <c r="O38" s="14"/>
      <c r="P38" s="14"/>
    </row>
    <row r="39" spans="1:16" s="30" customFormat="1" ht="12.75">
      <c r="A39" s="756"/>
      <c r="B39" s="14" t="s">
        <v>163</v>
      </c>
      <c r="C39" s="14"/>
      <c r="D39" s="14"/>
      <c r="E39" s="14"/>
      <c r="F39" s="14"/>
      <c r="G39" s="14"/>
      <c r="H39" s="14"/>
      <c r="I39" s="14"/>
      <c r="J39" s="14"/>
      <c r="K39" s="14"/>
      <c r="L39" s="325">
        <f>M39+N39+O39+P39</f>
        <v>0</v>
      </c>
      <c r="M39" s="14"/>
      <c r="N39" s="14"/>
      <c r="O39" s="14"/>
      <c r="P39" s="14"/>
    </row>
    <row r="40" spans="1:17" s="30" customFormat="1" ht="13.5" customHeight="1">
      <c r="A40" s="756" t="s">
        <v>190</v>
      </c>
      <c r="B40" s="733" t="s">
        <v>200</v>
      </c>
      <c r="C40" s="734"/>
      <c r="D40" s="734"/>
      <c r="E40" s="734"/>
      <c r="F40" s="734"/>
      <c r="G40" s="734"/>
      <c r="H40" s="734"/>
      <c r="I40" s="734"/>
      <c r="J40" s="734"/>
      <c r="K40" s="734"/>
      <c r="L40" s="734"/>
      <c r="M40" s="734"/>
      <c r="N40" s="734"/>
      <c r="O40" s="734"/>
      <c r="P40" s="735"/>
      <c r="Q40" s="197"/>
    </row>
    <row r="41" spans="1:17" s="30" customFormat="1" ht="12.75">
      <c r="A41" s="756"/>
      <c r="B41" s="736" t="s">
        <v>198</v>
      </c>
      <c r="C41" s="737"/>
      <c r="D41" s="737"/>
      <c r="E41" s="737"/>
      <c r="F41" s="737"/>
      <c r="G41" s="737"/>
      <c r="H41" s="737"/>
      <c r="I41" s="737"/>
      <c r="J41" s="737"/>
      <c r="K41" s="737"/>
      <c r="L41" s="737"/>
      <c r="M41" s="737"/>
      <c r="N41" s="737"/>
      <c r="O41" s="737"/>
      <c r="P41" s="738"/>
      <c r="Q41" s="197"/>
    </row>
    <row r="42" spans="1:16" s="30" customFormat="1" ht="12.75">
      <c r="A42" s="756"/>
      <c r="B42" s="736" t="s">
        <v>199</v>
      </c>
      <c r="C42" s="737"/>
      <c r="D42" s="737"/>
      <c r="E42" s="737"/>
      <c r="F42" s="737"/>
      <c r="G42" s="737"/>
      <c r="H42" s="737"/>
      <c r="I42" s="737"/>
      <c r="J42" s="737"/>
      <c r="K42" s="737"/>
      <c r="L42" s="737"/>
      <c r="M42" s="737"/>
      <c r="N42" s="737"/>
      <c r="O42" s="737"/>
      <c r="P42" s="738"/>
    </row>
    <row r="43" spans="1:16" s="30" customFormat="1" ht="12.75">
      <c r="A43" s="756"/>
      <c r="B43" s="196" t="s">
        <v>569</v>
      </c>
      <c r="C43" s="196" t="s">
        <v>201</v>
      </c>
      <c r="D43" s="196">
        <f>E43+F43</f>
        <v>329228</v>
      </c>
      <c r="E43" s="196">
        <f>E44+E45</f>
        <v>105353</v>
      </c>
      <c r="F43" s="196">
        <f>F44+F45</f>
        <v>223875</v>
      </c>
      <c r="G43" s="196">
        <f>L43+H43</f>
        <v>200530</v>
      </c>
      <c r="H43" s="196">
        <f>H44+H45+H46+H47</f>
        <v>64170</v>
      </c>
      <c r="I43" s="196">
        <f>I44+I45+I46+I47</f>
        <v>0</v>
      </c>
      <c r="J43" s="196">
        <f>J44+J45+J46+J47</f>
        <v>0</v>
      </c>
      <c r="K43" s="196">
        <f>K44+K45+K46+K47</f>
        <v>64170</v>
      </c>
      <c r="L43" s="196">
        <f>L44+L45+L46+L47</f>
        <v>136360</v>
      </c>
      <c r="M43" s="196"/>
      <c r="N43" s="196"/>
      <c r="O43" s="196"/>
      <c r="P43" s="196">
        <f>P44+P45+P46+P47</f>
        <v>136360</v>
      </c>
    </row>
    <row r="44" spans="1:16" s="30" customFormat="1" ht="12.75">
      <c r="A44" s="756"/>
      <c r="B44" s="130" t="s">
        <v>188</v>
      </c>
      <c r="C44" s="14"/>
      <c r="D44" s="325">
        <f>E44+F44</f>
        <v>128698</v>
      </c>
      <c r="E44" s="325">
        <v>41183</v>
      </c>
      <c r="F44" s="325">
        <v>87515</v>
      </c>
      <c r="G44" s="325"/>
      <c r="H44" s="325"/>
      <c r="I44" s="41"/>
      <c r="J44" s="14"/>
      <c r="K44" s="14"/>
      <c r="L44" s="325"/>
      <c r="M44" s="14"/>
      <c r="N44" s="14"/>
      <c r="O44" s="14"/>
      <c r="P44" s="14"/>
    </row>
    <row r="45" spans="1:16" s="30" customFormat="1" ht="12.75">
      <c r="A45" s="756"/>
      <c r="B45" s="386" t="s">
        <v>571</v>
      </c>
      <c r="C45" s="325"/>
      <c r="D45" s="325">
        <f>E45+F45</f>
        <v>200530</v>
      </c>
      <c r="E45" s="325">
        <f>H45</f>
        <v>64170</v>
      </c>
      <c r="F45" s="325">
        <f>L45</f>
        <v>136360</v>
      </c>
      <c r="G45" s="325">
        <f>L45+H45</f>
        <v>200530</v>
      </c>
      <c r="H45" s="325">
        <f>I45+J45+K45</f>
        <v>64170</v>
      </c>
      <c r="I45" s="325"/>
      <c r="J45" s="325"/>
      <c r="K45" s="325">
        <v>64170</v>
      </c>
      <c r="L45" s="325">
        <f>M45+N45+O45+P45</f>
        <v>136360</v>
      </c>
      <c r="M45" s="325"/>
      <c r="N45" s="325"/>
      <c r="O45" s="325"/>
      <c r="P45" s="325">
        <v>136360</v>
      </c>
    </row>
    <row r="46" spans="1:16" s="30" customFormat="1" ht="12.75">
      <c r="A46" s="756"/>
      <c r="B46" s="14" t="s">
        <v>572</v>
      </c>
      <c r="C46" s="14"/>
      <c r="D46" s="325">
        <f>E46+F46</f>
        <v>0</v>
      </c>
      <c r="E46" s="325">
        <f>H46</f>
        <v>0</v>
      </c>
      <c r="F46" s="325">
        <f>L46</f>
        <v>0</v>
      </c>
      <c r="G46" s="325">
        <f>L46+H46</f>
        <v>0</v>
      </c>
      <c r="H46" s="325">
        <f>I46+J46+K46</f>
        <v>0</v>
      </c>
      <c r="I46" s="14"/>
      <c r="J46" s="14"/>
      <c r="K46" s="14"/>
      <c r="L46" s="325">
        <f>M46+N46+O46+P46</f>
        <v>0</v>
      </c>
      <c r="M46" s="14"/>
      <c r="N46" s="14"/>
      <c r="O46" s="14"/>
      <c r="P46" s="14"/>
    </row>
    <row r="47" spans="1:16" s="30" customFormat="1" ht="12.75">
      <c r="A47" s="756"/>
      <c r="B47" s="14" t="s">
        <v>163</v>
      </c>
      <c r="C47" s="14"/>
      <c r="D47" s="325">
        <f>E47+F47</f>
        <v>0</v>
      </c>
      <c r="E47" s="325">
        <f>H47</f>
        <v>0</v>
      </c>
      <c r="F47" s="325">
        <f>L47</f>
        <v>0</v>
      </c>
      <c r="G47" s="325">
        <f>L47+H47</f>
        <v>0</v>
      </c>
      <c r="H47" s="325">
        <f>I47+J47+K47</f>
        <v>0</v>
      </c>
      <c r="I47" s="14"/>
      <c r="J47" s="14"/>
      <c r="K47" s="14"/>
      <c r="L47" s="325">
        <f>M47+N47+O47+P47</f>
        <v>0</v>
      </c>
      <c r="M47" s="14"/>
      <c r="N47" s="14"/>
      <c r="O47" s="14"/>
      <c r="P47" s="14"/>
    </row>
    <row r="48" spans="1:16" s="30" customFormat="1" ht="17.25" customHeight="1">
      <c r="A48" s="198"/>
      <c r="B48" s="198" t="s">
        <v>191</v>
      </c>
      <c r="C48" s="198"/>
      <c r="D48" s="199">
        <f>D14+D31</f>
        <v>14382643</v>
      </c>
      <c r="E48" s="199">
        <f aca="true" t="shared" si="4" ref="E48:P48">E14+E31</f>
        <v>5543296</v>
      </c>
      <c r="F48" s="199">
        <f t="shared" si="4"/>
        <v>8839347</v>
      </c>
      <c r="G48" s="199">
        <f t="shared" si="4"/>
        <v>6948733</v>
      </c>
      <c r="H48" s="199">
        <f t="shared" si="4"/>
        <v>2731026</v>
      </c>
      <c r="I48" s="199">
        <f t="shared" si="4"/>
        <v>334439</v>
      </c>
      <c r="J48" s="199">
        <f t="shared" si="4"/>
        <v>0</v>
      </c>
      <c r="K48" s="199">
        <f t="shared" si="4"/>
        <v>2396587</v>
      </c>
      <c r="L48" s="199">
        <f t="shared" si="4"/>
        <v>4217707</v>
      </c>
      <c r="M48" s="199">
        <f t="shared" si="4"/>
        <v>3790310</v>
      </c>
      <c r="N48" s="199">
        <f t="shared" si="4"/>
        <v>0</v>
      </c>
      <c r="O48" s="199">
        <f t="shared" si="4"/>
        <v>0</v>
      </c>
      <c r="P48" s="199">
        <f t="shared" si="4"/>
        <v>427397</v>
      </c>
    </row>
    <row r="49" spans="1:16" ht="0.75" customHeight="1">
      <c r="A49" s="139"/>
      <c r="B49" s="126"/>
      <c r="C49" s="126"/>
      <c r="D49" s="202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</row>
    <row r="50" spans="1:16" ht="23.25" customHeight="1">
      <c r="A50" s="139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93"/>
      <c r="M50" s="191" t="s">
        <v>899</v>
      </c>
      <c r="N50" s="191"/>
      <c r="O50" s="126"/>
      <c r="P50" s="126"/>
    </row>
    <row r="51" spans="1:16" ht="24.75" customHeight="1">
      <c r="A51" s="139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72"/>
      <c r="N51" s="72"/>
      <c r="O51" s="126"/>
      <c r="P51" s="126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  <row r="119" ht="12.75">
      <c r="A119" s="30"/>
    </row>
    <row r="120" ht="12.75">
      <c r="A120" s="30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A125" s="30"/>
    </row>
    <row r="126" ht="12.75">
      <c r="A126" s="30"/>
    </row>
    <row r="127" ht="12.75">
      <c r="A127" s="30"/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0"/>
    </row>
    <row r="133" ht="12.75">
      <c r="A133" s="30"/>
    </row>
    <row r="134" ht="12.75">
      <c r="A134" s="30"/>
    </row>
    <row r="135" ht="12.75">
      <c r="A135" s="30"/>
    </row>
    <row r="136" ht="12.75">
      <c r="A136" s="30"/>
    </row>
    <row r="137" ht="12.75">
      <c r="A137" s="30"/>
    </row>
    <row r="138" ht="12.75">
      <c r="A138" s="30"/>
    </row>
    <row r="139" ht="12.75">
      <c r="A139" s="30"/>
    </row>
    <row r="140" ht="12.75">
      <c r="A140" s="30"/>
    </row>
    <row r="141" ht="12.75">
      <c r="A141" s="30"/>
    </row>
    <row r="142" ht="12.75">
      <c r="A142" s="30"/>
    </row>
    <row r="143" ht="12.75">
      <c r="A143" s="30"/>
    </row>
    <row r="144" ht="12.75">
      <c r="A144" s="30"/>
    </row>
    <row r="145" ht="12.75">
      <c r="A145" s="30"/>
    </row>
    <row r="146" ht="12.75">
      <c r="A146" s="30"/>
    </row>
    <row r="147" ht="12.75">
      <c r="A147" s="30"/>
    </row>
    <row r="148" ht="12.75">
      <c r="A148" s="30"/>
    </row>
    <row r="149" ht="12.75">
      <c r="A149" s="30"/>
    </row>
    <row r="150" ht="12.75">
      <c r="A150" s="30"/>
    </row>
    <row r="151" ht="12.75">
      <c r="A151" s="30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ht="12.75">
      <c r="A156" s="30"/>
    </row>
    <row r="157" ht="12.75">
      <c r="A157" s="30"/>
    </row>
    <row r="158" ht="12.75">
      <c r="A158" s="30"/>
    </row>
    <row r="159" ht="12.75">
      <c r="A159" s="30"/>
    </row>
    <row r="160" ht="12.75">
      <c r="A160" s="30"/>
    </row>
    <row r="161" ht="12.75">
      <c r="A161" s="30"/>
    </row>
    <row r="162" ht="12.75">
      <c r="A162" s="30"/>
    </row>
    <row r="163" ht="12.75">
      <c r="A163" s="30"/>
    </row>
    <row r="164" ht="12.75">
      <c r="A164" s="30"/>
    </row>
    <row r="165" ht="12.75">
      <c r="A165" s="30"/>
    </row>
    <row r="166" ht="12.75">
      <c r="A166" s="30"/>
    </row>
    <row r="167" ht="12.75">
      <c r="A167" s="30"/>
    </row>
    <row r="168" ht="12.75">
      <c r="A168" s="30"/>
    </row>
    <row r="169" ht="12.75">
      <c r="A169" s="30"/>
    </row>
    <row r="170" ht="12.75">
      <c r="A170" s="30"/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  <row r="181" ht="12.75">
      <c r="A181" s="30"/>
    </row>
    <row r="182" ht="12.75">
      <c r="A182" s="30"/>
    </row>
    <row r="183" ht="12.75">
      <c r="A183" s="30"/>
    </row>
    <row r="184" ht="12.75">
      <c r="A184" s="30"/>
    </row>
    <row r="185" ht="12.75">
      <c r="A185" s="30"/>
    </row>
    <row r="186" ht="12.75">
      <c r="A186" s="30"/>
    </row>
    <row r="187" ht="12.75">
      <c r="A187" s="30"/>
    </row>
    <row r="188" ht="12.75">
      <c r="A188" s="30"/>
    </row>
    <row r="189" ht="12.75">
      <c r="A189" s="30"/>
    </row>
    <row r="190" ht="12.75">
      <c r="A190" s="30"/>
    </row>
    <row r="191" ht="12.75">
      <c r="A191" s="30"/>
    </row>
    <row r="192" ht="12.75">
      <c r="A192" s="30"/>
    </row>
    <row r="193" ht="12.75">
      <c r="A193" s="30"/>
    </row>
    <row r="194" ht="12.75">
      <c r="A194" s="30"/>
    </row>
    <row r="195" ht="12.75">
      <c r="A195" s="30"/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  <row r="203" ht="12.75">
      <c r="A203" s="30"/>
    </row>
    <row r="204" ht="12.75">
      <c r="A204" s="30"/>
    </row>
    <row r="205" ht="12.75">
      <c r="A205" s="30"/>
    </row>
    <row r="206" ht="12.75">
      <c r="A206" s="30"/>
    </row>
    <row r="207" ht="12.75">
      <c r="A207" s="30"/>
    </row>
    <row r="208" ht="12.75">
      <c r="A208" s="30"/>
    </row>
    <row r="209" ht="12.75">
      <c r="A209" s="30"/>
    </row>
    <row r="210" ht="12.75">
      <c r="A210" s="30"/>
    </row>
    <row r="211" ht="12.75">
      <c r="A211" s="30"/>
    </row>
    <row r="212" ht="12.75">
      <c r="A212" s="30"/>
    </row>
    <row r="213" ht="12.75">
      <c r="A213" s="30"/>
    </row>
    <row r="214" ht="12.75">
      <c r="A214" s="30"/>
    </row>
    <row r="215" ht="12.75">
      <c r="A215" s="30"/>
    </row>
    <row r="216" ht="12.75">
      <c r="A216" s="30"/>
    </row>
    <row r="217" ht="12.75">
      <c r="A217" s="30"/>
    </row>
    <row r="218" ht="12.75">
      <c r="A218" s="30"/>
    </row>
    <row r="219" ht="12.75">
      <c r="A219" s="30"/>
    </row>
    <row r="220" ht="12.75">
      <c r="A220" s="30"/>
    </row>
    <row r="221" ht="12.75">
      <c r="A221" s="30"/>
    </row>
    <row r="222" ht="12.75">
      <c r="A222" s="30"/>
    </row>
    <row r="223" ht="12.75">
      <c r="A223" s="30"/>
    </row>
    <row r="224" ht="12.75">
      <c r="A224" s="30"/>
    </row>
    <row r="225" ht="12.75">
      <c r="A225" s="30"/>
    </row>
    <row r="226" ht="12.75">
      <c r="A226" s="30"/>
    </row>
    <row r="227" ht="12.75">
      <c r="A227" s="30"/>
    </row>
    <row r="228" ht="12.75">
      <c r="A228" s="30"/>
    </row>
    <row r="229" ht="12.75">
      <c r="A229" s="30"/>
    </row>
    <row r="230" ht="12.75">
      <c r="A230" s="30"/>
    </row>
    <row r="231" ht="12.75">
      <c r="A231" s="30"/>
    </row>
    <row r="232" ht="12.75">
      <c r="A232" s="30"/>
    </row>
    <row r="233" ht="12.75">
      <c r="A233" s="30"/>
    </row>
    <row r="234" ht="12.75">
      <c r="A234" s="30"/>
    </row>
    <row r="235" ht="12.75">
      <c r="A235" s="30"/>
    </row>
    <row r="236" ht="12.75">
      <c r="A236" s="30"/>
    </row>
    <row r="237" ht="12.75">
      <c r="A237" s="30"/>
    </row>
    <row r="238" ht="12.75">
      <c r="A238" s="30"/>
    </row>
    <row r="239" ht="12.75">
      <c r="A239" s="30"/>
    </row>
    <row r="240" ht="12.75">
      <c r="A240" s="30"/>
    </row>
    <row r="241" ht="12.75">
      <c r="A241" s="30"/>
    </row>
    <row r="242" ht="12.75">
      <c r="A242" s="30"/>
    </row>
    <row r="243" ht="12.75">
      <c r="A243" s="30"/>
    </row>
    <row r="244" ht="12.75">
      <c r="A244" s="30"/>
    </row>
    <row r="245" ht="12.75">
      <c r="A245" s="30"/>
    </row>
    <row r="246" ht="12.75">
      <c r="A246" s="30"/>
    </row>
    <row r="247" ht="12.75">
      <c r="A247" s="30"/>
    </row>
    <row r="248" ht="12.75">
      <c r="A248" s="30"/>
    </row>
    <row r="249" ht="12.75">
      <c r="A249" s="30"/>
    </row>
    <row r="250" ht="12.75">
      <c r="A250" s="30"/>
    </row>
    <row r="251" ht="12.75">
      <c r="A251" s="30"/>
    </row>
    <row r="252" ht="12.75">
      <c r="A252" s="30"/>
    </row>
    <row r="253" ht="12.75">
      <c r="A253" s="30"/>
    </row>
    <row r="254" ht="12.75">
      <c r="A254" s="30"/>
    </row>
    <row r="255" ht="12.75">
      <c r="A255" s="30"/>
    </row>
    <row r="256" ht="12.75">
      <c r="A256" s="30"/>
    </row>
    <row r="257" ht="12.75">
      <c r="A257" s="30"/>
    </row>
    <row r="258" ht="12.75">
      <c r="A258" s="30"/>
    </row>
    <row r="259" ht="12.75">
      <c r="A259" s="30"/>
    </row>
    <row r="260" ht="12.75">
      <c r="A260" s="30"/>
    </row>
    <row r="261" ht="12.75">
      <c r="A261" s="30"/>
    </row>
    <row r="262" ht="12.75">
      <c r="A262" s="30"/>
    </row>
    <row r="263" ht="12.75">
      <c r="A263" s="30"/>
    </row>
    <row r="264" ht="12.75">
      <c r="A264" s="30"/>
    </row>
    <row r="265" ht="12.75">
      <c r="A265" s="30"/>
    </row>
    <row r="266" ht="12.75">
      <c r="A266" s="30"/>
    </row>
    <row r="267" ht="12.75">
      <c r="A267" s="30"/>
    </row>
    <row r="268" ht="12.75">
      <c r="A268" s="30"/>
    </row>
    <row r="269" ht="12.75">
      <c r="A269" s="30"/>
    </row>
    <row r="270" ht="12.75">
      <c r="A270" s="30"/>
    </row>
    <row r="271" ht="12.75">
      <c r="A271" s="30"/>
    </row>
    <row r="272" ht="12.75">
      <c r="A272" s="30"/>
    </row>
    <row r="273" ht="12.75">
      <c r="A273" s="30"/>
    </row>
    <row r="274" ht="12.75">
      <c r="A274" s="30"/>
    </row>
    <row r="275" ht="12.75">
      <c r="A275" s="30"/>
    </row>
    <row r="276" ht="12.75">
      <c r="A276" s="30"/>
    </row>
    <row r="277" ht="12.75">
      <c r="A277" s="30"/>
    </row>
    <row r="278" ht="12.75">
      <c r="A278" s="30"/>
    </row>
    <row r="279" ht="12.75">
      <c r="A279" s="30"/>
    </row>
    <row r="280" ht="12.75">
      <c r="A280" s="30"/>
    </row>
    <row r="281" ht="12.75">
      <c r="A281" s="30"/>
    </row>
    <row r="282" ht="12.75">
      <c r="A282" s="30"/>
    </row>
    <row r="283" ht="12.75">
      <c r="A283" s="30"/>
    </row>
    <row r="284" ht="12.75">
      <c r="A284" s="30"/>
    </row>
    <row r="285" ht="12.75">
      <c r="A285" s="30"/>
    </row>
    <row r="286" ht="12.75">
      <c r="A286" s="30"/>
    </row>
    <row r="287" ht="12.75">
      <c r="A287" s="30"/>
    </row>
    <row r="288" ht="12.75">
      <c r="A288" s="30"/>
    </row>
    <row r="289" ht="12.75">
      <c r="A289" s="30"/>
    </row>
    <row r="290" ht="12.75">
      <c r="A290" s="30"/>
    </row>
    <row r="291" ht="12.75">
      <c r="A291" s="30"/>
    </row>
    <row r="292" ht="12.75">
      <c r="A292" s="30"/>
    </row>
    <row r="293" ht="12.75">
      <c r="A293" s="30"/>
    </row>
    <row r="294" ht="12.75">
      <c r="A294" s="30"/>
    </row>
    <row r="295" ht="12.75">
      <c r="A295" s="30"/>
    </row>
    <row r="296" ht="12.75">
      <c r="A296" s="30"/>
    </row>
    <row r="297" ht="12.75">
      <c r="A297" s="30"/>
    </row>
    <row r="298" ht="12.75">
      <c r="A298" s="30"/>
    </row>
    <row r="299" ht="12.75">
      <c r="A299" s="30"/>
    </row>
    <row r="300" ht="12.75">
      <c r="A300" s="30"/>
    </row>
    <row r="301" ht="12.75">
      <c r="A301" s="30"/>
    </row>
    <row r="302" ht="12.75">
      <c r="A302" s="30"/>
    </row>
    <row r="303" ht="12.75">
      <c r="A303" s="30"/>
    </row>
    <row r="304" ht="12.75">
      <c r="A304" s="30"/>
    </row>
    <row r="305" ht="12.75">
      <c r="A305" s="30"/>
    </row>
    <row r="306" ht="12.75">
      <c r="A306" s="30"/>
    </row>
    <row r="307" ht="12.75">
      <c r="A307" s="30"/>
    </row>
    <row r="308" ht="12.75">
      <c r="A308" s="30"/>
    </row>
    <row r="309" ht="12.75">
      <c r="A309" s="30"/>
    </row>
    <row r="310" ht="12.75">
      <c r="A310" s="30"/>
    </row>
    <row r="311" ht="12.75">
      <c r="A311" s="30"/>
    </row>
    <row r="312" ht="12.75">
      <c r="A312" s="30"/>
    </row>
    <row r="313" ht="12.75">
      <c r="A313" s="30"/>
    </row>
    <row r="314" ht="12.75">
      <c r="A314" s="30"/>
    </row>
    <row r="315" ht="12.75">
      <c r="A315" s="30"/>
    </row>
    <row r="316" ht="12.75">
      <c r="A316" s="30"/>
    </row>
    <row r="317" ht="12.75">
      <c r="A317" s="30"/>
    </row>
    <row r="318" ht="12.75">
      <c r="A318" s="30"/>
    </row>
    <row r="319" ht="12.75">
      <c r="A319" s="30"/>
    </row>
    <row r="320" ht="12.75">
      <c r="A320" s="30"/>
    </row>
    <row r="321" ht="12.75">
      <c r="A321" s="30"/>
    </row>
    <row r="322" ht="12.75">
      <c r="A322" s="30"/>
    </row>
    <row r="323" ht="12.75">
      <c r="A323" s="30"/>
    </row>
    <row r="324" ht="12.75">
      <c r="A324" s="30"/>
    </row>
    <row r="325" ht="12.75">
      <c r="A325" s="30"/>
    </row>
    <row r="326" ht="12.75">
      <c r="A326" s="30"/>
    </row>
    <row r="327" ht="12.75">
      <c r="A327" s="30"/>
    </row>
    <row r="328" ht="12.75">
      <c r="A328" s="30"/>
    </row>
    <row r="329" ht="12.75">
      <c r="A329" s="30"/>
    </row>
    <row r="330" ht="12.75">
      <c r="A330" s="30"/>
    </row>
    <row r="331" ht="12.75">
      <c r="A331" s="30"/>
    </row>
    <row r="332" ht="12.75">
      <c r="A332" s="30"/>
    </row>
    <row r="333" ht="12.75">
      <c r="A333" s="30"/>
    </row>
    <row r="334" ht="12.75">
      <c r="A334" s="30"/>
    </row>
    <row r="335" ht="12.75">
      <c r="A335" s="30"/>
    </row>
    <row r="336" ht="12.75">
      <c r="A336" s="30"/>
    </row>
    <row r="337" ht="12.75">
      <c r="A337" s="30"/>
    </row>
    <row r="338" ht="12.75">
      <c r="A338" s="30"/>
    </row>
    <row r="339" ht="12.75">
      <c r="A339" s="30"/>
    </row>
    <row r="340" ht="12.75">
      <c r="A340" s="30"/>
    </row>
    <row r="341" ht="12.75">
      <c r="A341" s="30"/>
    </row>
    <row r="342" ht="12.75">
      <c r="A342" s="30"/>
    </row>
    <row r="343" ht="12.75">
      <c r="A343" s="30"/>
    </row>
    <row r="344" ht="12.75">
      <c r="A344" s="30"/>
    </row>
    <row r="345" ht="12.75">
      <c r="A345" s="30"/>
    </row>
    <row r="346" ht="12.75">
      <c r="A346" s="30"/>
    </row>
    <row r="347" ht="12.75">
      <c r="A347" s="30"/>
    </row>
    <row r="348" ht="12.75">
      <c r="A348" s="30"/>
    </row>
    <row r="349" ht="12.75">
      <c r="A349" s="30"/>
    </row>
    <row r="350" ht="12.75">
      <c r="A350" s="30"/>
    </row>
    <row r="351" ht="12.75">
      <c r="A351" s="30"/>
    </row>
    <row r="352" ht="12.75">
      <c r="A352" s="30"/>
    </row>
    <row r="353" ht="12.75">
      <c r="A353" s="30"/>
    </row>
    <row r="354" ht="12.75">
      <c r="A354" s="30"/>
    </row>
    <row r="355" ht="12.75">
      <c r="A355" s="30"/>
    </row>
    <row r="356" ht="12.75">
      <c r="A356" s="30"/>
    </row>
    <row r="357" ht="12.75">
      <c r="A357" s="30"/>
    </row>
    <row r="358" ht="12.75">
      <c r="A358" s="30"/>
    </row>
    <row r="359" ht="12.75">
      <c r="A359" s="30"/>
    </row>
    <row r="360" ht="12.75">
      <c r="A360" s="30"/>
    </row>
    <row r="361" ht="12.75">
      <c r="A361" s="30"/>
    </row>
    <row r="362" ht="12.75">
      <c r="A362" s="30"/>
    </row>
    <row r="363" ht="12.75">
      <c r="A363" s="30"/>
    </row>
    <row r="364" ht="12.75">
      <c r="A364" s="30"/>
    </row>
    <row r="365" ht="12.75">
      <c r="A365" s="30"/>
    </row>
    <row r="366" ht="12.75">
      <c r="A366" s="30"/>
    </row>
    <row r="367" ht="12.75">
      <c r="A367" s="30"/>
    </row>
    <row r="368" ht="12.75">
      <c r="A368" s="30"/>
    </row>
    <row r="369" ht="12.75">
      <c r="A369" s="30"/>
    </row>
    <row r="370" ht="12.75">
      <c r="A370" s="30"/>
    </row>
    <row r="371" ht="12.75">
      <c r="A371" s="30"/>
    </row>
    <row r="372" ht="12.75">
      <c r="A372" s="30"/>
    </row>
    <row r="373" ht="12.75">
      <c r="A373" s="30"/>
    </row>
    <row r="374" ht="12.75">
      <c r="A374" s="30"/>
    </row>
    <row r="375" ht="12.75">
      <c r="A375" s="30"/>
    </row>
    <row r="376" ht="12.75">
      <c r="A376" s="30"/>
    </row>
    <row r="377" ht="12.75">
      <c r="A377" s="30"/>
    </row>
    <row r="378" ht="12.75">
      <c r="A378" s="30"/>
    </row>
    <row r="379" ht="12.75">
      <c r="A379" s="30"/>
    </row>
    <row r="380" ht="12.75">
      <c r="A380" s="30"/>
    </row>
    <row r="381" ht="12.75">
      <c r="A381" s="30"/>
    </row>
    <row r="382" ht="12.75">
      <c r="A382" s="30"/>
    </row>
    <row r="383" ht="12.75">
      <c r="A383" s="30"/>
    </row>
    <row r="384" ht="12.75">
      <c r="A384" s="30"/>
    </row>
    <row r="385" ht="12.75">
      <c r="A385" s="30"/>
    </row>
    <row r="386" ht="12.75">
      <c r="A386" s="30"/>
    </row>
    <row r="387" ht="12.75">
      <c r="A387" s="30"/>
    </row>
    <row r="388" ht="12.75">
      <c r="A388" s="30"/>
    </row>
    <row r="389" ht="12.75">
      <c r="A389" s="30"/>
    </row>
    <row r="390" ht="12.75">
      <c r="A390" s="30"/>
    </row>
    <row r="391" ht="12.75">
      <c r="A391" s="30"/>
    </row>
    <row r="392" ht="12.75">
      <c r="A392" s="30"/>
    </row>
    <row r="393" ht="12.75">
      <c r="A393" s="30"/>
    </row>
    <row r="394" ht="12.75">
      <c r="A394" s="30"/>
    </row>
    <row r="395" ht="12.75">
      <c r="A395" s="30"/>
    </row>
    <row r="396" ht="12.75">
      <c r="A396" s="30"/>
    </row>
    <row r="397" ht="12.75">
      <c r="A397" s="30"/>
    </row>
    <row r="398" ht="12.75">
      <c r="A398" s="30"/>
    </row>
    <row r="399" ht="12.75">
      <c r="A399" s="30"/>
    </row>
    <row r="400" ht="12.75">
      <c r="A400" s="30"/>
    </row>
    <row r="401" ht="12.75">
      <c r="A401" s="30"/>
    </row>
    <row r="402" ht="12.75">
      <c r="A402" s="30"/>
    </row>
    <row r="403" ht="12.75">
      <c r="A403" s="30"/>
    </row>
    <row r="404" ht="12.75">
      <c r="A404" s="30"/>
    </row>
    <row r="405" ht="12.75">
      <c r="A405" s="30"/>
    </row>
    <row r="406" ht="12.75">
      <c r="A406" s="30"/>
    </row>
    <row r="407" ht="12.75">
      <c r="A407" s="30"/>
    </row>
    <row r="408" ht="12.75">
      <c r="A408" s="30"/>
    </row>
    <row r="409" ht="12.75">
      <c r="A409" s="30"/>
    </row>
    <row r="410" ht="12.75">
      <c r="A410" s="30"/>
    </row>
    <row r="411" ht="12.75">
      <c r="A411" s="30"/>
    </row>
    <row r="412" ht="12.75">
      <c r="A412" s="30"/>
    </row>
    <row r="413" ht="12.75">
      <c r="A413" s="30"/>
    </row>
    <row r="414" ht="12.75">
      <c r="A414" s="30"/>
    </row>
    <row r="415" ht="12.75">
      <c r="A415" s="30"/>
    </row>
    <row r="416" ht="12.75">
      <c r="A416" s="30"/>
    </row>
    <row r="417" ht="12.75">
      <c r="A417" s="30"/>
    </row>
    <row r="418" ht="12.75">
      <c r="A418" s="30"/>
    </row>
    <row r="419" ht="12.75">
      <c r="A419" s="30"/>
    </row>
    <row r="420" ht="12.75">
      <c r="A420" s="30"/>
    </row>
    <row r="421" ht="12.75">
      <c r="A421" s="30"/>
    </row>
    <row r="422" ht="12.75">
      <c r="A422" s="30"/>
    </row>
    <row r="423" ht="12.75">
      <c r="A423" s="30"/>
    </row>
    <row r="424" ht="12.75">
      <c r="A424" s="30"/>
    </row>
    <row r="425" ht="12.75">
      <c r="A425" s="30"/>
    </row>
    <row r="426" ht="12.75">
      <c r="A426" s="30"/>
    </row>
    <row r="427" ht="12.75">
      <c r="A427" s="30"/>
    </row>
    <row r="428" ht="12.75">
      <c r="A428" s="30"/>
    </row>
    <row r="429" ht="12.75">
      <c r="A429" s="30"/>
    </row>
    <row r="430" ht="12.75">
      <c r="A430" s="30"/>
    </row>
    <row r="431" ht="12.75">
      <c r="A431" s="30"/>
    </row>
    <row r="432" ht="12.75">
      <c r="A432" s="30"/>
    </row>
    <row r="433" ht="12.75">
      <c r="A433" s="30"/>
    </row>
    <row r="434" ht="12.75">
      <c r="A434" s="30"/>
    </row>
    <row r="435" ht="12.75">
      <c r="A435" s="30"/>
    </row>
    <row r="436" ht="12.75">
      <c r="A436" s="30"/>
    </row>
    <row r="437" ht="12.75">
      <c r="A437" s="30"/>
    </row>
    <row r="438" ht="12.75">
      <c r="A438" s="30"/>
    </row>
    <row r="439" ht="12.75">
      <c r="A439" s="30"/>
    </row>
    <row r="440" ht="12.75">
      <c r="A440" s="30"/>
    </row>
    <row r="441" ht="12.75">
      <c r="A441" s="30"/>
    </row>
    <row r="442" ht="12.75">
      <c r="A442" s="30"/>
    </row>
    <row r="443" ht="12.75">
      <c r="A443" s="30"/>
    </row>
    <row r="444" ht="12.75">
      <c r="A444" s="30"/>
    </row>
    <row r="445" ht="12.75">
      <c r="A445" s="30"/>
    </row>
    <row r="446" ht="12.75">
      <c r="A446" s="30"/>
    </row>
    <row r="447" ht="12.75">
      <c r="A447" s="30"/>
    </row>
    <row r="448" ht="12.75">
      <c r="A448" s="30"/>
    </row>
    <row r="449" ht="12.75">
      <c r="A449" s="30"/>
    </row>
    <row r="450" ht="12.75">
      <c r="A450" s="30"/>
    </row>
    <row r="451" ht="12.75">
      <c r="A451" s="30"/>
    </row>
    <row r="452" ht="12.75">
      <c r="A452" s="30"/>
    </row>
    <row r="453" ht="12.75">
      <c r="A453" s="30"/>
    </row>
    <row r="454" ht="12.75">
      <c r="A454" s="30"/>
    </row>
    <row r="455" ht="12.75">
      <c r="A455" s="30"/>
    </row>
    <row r="456" ht="12.75">
      <c r="A456" s="30"/>
    </row>
    <row r="457" ht="12.75">
      <c r="A457" s="30"/>
    </row>
    <row r="458" ht="12.75">
      <c r="A458" s="30"/>
    </row>
    <row r="459" ht="12.75">
      <c r="A459" s="30"/>
    </row>
    <row r="460" ht="12.75">
      <c r="A460" s="30"/>
    </row>
    <row r="461" ht="12.75">
      <c r="A461" s="30"/>
    </row>
    <row r="462" ht="12.75">
      <c r="A462" s="30"/>
    </row>
    <row r="463" ht="12.75">
      <c r="A463" s="30"/>
    </row>
    <row r="464" ht="12.75">
      <c r="A464" s="30"/>
    </row>
    <row r="465" ht="12.75">
      <c r="A465" s="30"/>
    </row>
    <row r="466" ht="12.75">
      <c r="A466" s="30"/>
    </row>
    <row r="467" ht="12.75">
      <c r="A467" s="30"/>
    </row>
    <row r="468" ht="12.75">
      <c r="A468" s="30"/>
    </row>
    <row r="469" ht="12.75">
      <c r="A469" s="30"/>
    </row>
    <row r="470" ht="12.75">
      <c r="A470" s="30"/>
    </row>
    <row r="471" ht="12.75">
      <c r="A471" s="30"/>
    </row>
    <row r="472" ht="12.75">
      <c r="A472" s="30"/>
    </row>
    <row r="473" ht="12.75">
      <c r="A473" s="30"/>
    </row>
    <row r="474" ht="12.75">
      <c r="A474" s="30"/>
    </row>
    <row r="475" ht="12.75">
      <c r="A475" s="30"/>
    </row>
    <row r="476" ht="12.75">
      <c r="A476" s="30"/>
    </row>
    <row r="477" ht="12.75">
      <c r="A477" s="30"/>
    </row>
    <row r="478" ht="12.75">
      <c r="A478" s="30"/>
    </row>
    <row r="479" ht="12.75">
      <c r="A479" s="30"/>
    </row>
    <row r="480" ht="12.75">
      <c r="A480" s="30"/>
    </row>
    <row r="481" ht="12.75">
      <c r="A481" s="30"/>
    </row>
    <row r="482" ht="12.75">
      <c r="A482" s="30"/>
    </row>
    <row r="483" ht="12.75">
      <c r="A483" s="30"/>
    </row>
    <row r="484" ht="12.75">
      <c r="A484" s="30"/>
    </row>
    <row r="485" ht="12.75">
      <c r="A485" s="30"/>
    </row>
    <row r="486" ht="12.75">
      <c r="A486" s="30"/>
    </row>
    <row r="487" ht="12.75">
      <c r="A487" s="30"/>
    </row>
    <row r="488" ht="12.75">
      <c r="A488" s="30"/>
    </row>
    <row r="489" ht="12.75">
      <c r="A489" s="30"/>
    </row>
    <row r="490" ht="12.75">
      <c r="A490" s="30"/>
    </row>
    <row r="491" ht="12.75">
      <c r="A491" s="30"/>
    </row>
    <row r="492" ht="12.75">
      <c r="A492" s="30"/>
    </row>
    <row r="493" ht="12.75">
      <c r="A493" s="30"/>
    </row>
    <row r="494" ht="12.75">
      <c r="A494" s="30"/>
    </row>
    <row r="495" ht="12.75">
      <c r="A495" s="30"/>
    </row>
    <row r="496" ht="12.75">
      <c r="A496" s="30"/>
    </row>
    <row r="497" ht="12.75">
      <c r="A497" s="30"/>
    </row>
    <row r="498" ht="12.75">
      <c r="A498" s="30"/>
    </row>
    <row r="499" ht="12.75">
      <c r="A499" s="30"/>
    </row>
    <row r="500" ht="12.75">
      <c r="A500" s="30"/>
    </row>
    <row r="501" ht="12.75">
      <c r="A501" s="30"/>
    </row>
    <row r="502" ht="12.75">
      <c r="A502" s="30"/>
    </row>
    <row r="503" ht="12.75">
      <c r="A503" s="30"/>
    </row>
    <row r="504" ht="12.75">
      <c r="A504" s="30"/>
    </row>
    <row r="505" ht="12.75">
      <c r="A505" s="30"/>
    </row>
    <row r="506" ht="12.75">
      <c r="A506" s="30"/>
    </row>
    <row r="507" ht="12.75">
      <c r="A507" s="30"/>
    </row>
    <row r="508" ht="12.75">
      <c r="A508" s="30"/>
    </row>
    <row r="509" ht="12.75">
      <c r="A509" s="30"/>
    </row>
    <row r="510" ht="12.75">
      <c r="A510" s="30"/>
    </row>
    <row r="511" ht="12.75">
      <c r="A511" s="30"/>
    </row>
    <row r="512" ht="12.75">
      <c r="A512" s="30"/>
    </row>
    <row r="513" ht="12.75">
      <c r="A513" s="30"/>
    </row>
    <row r="514" ht="12.75">
      <c r="A514" s="30"/>
    </row>
    <row r="515" ht="12.75">
      <c r="A515" s="30"/>
    </row>
    <row r="516" ht="12.75">
      <c r="A516" s="30"/>
    </row>
    <row r="517" ht="12.75">
      <c r="A517" s="30"/>
    </row>
    <row r="518" ht="12.75">
      <c r="A518" s="30"/>
    </row>
    <row r="519" ht="12.75">
      <c r="A519" s="30"/>
    </row>
    <row r="520" ht="12.75">
      <c r="A520" s="30"/>
    </row>
    <row r="521" ht="12.75">
      <c r="A521" s="30"/>
    </row>
    <row r="522" ht="12.75">
      <c r="A522" s="30"/>
    </row>
    <row r="523" ht="12.75">
      <c r="A523" s="30"/>
    </row>
    <row r="524" ht="12.75">
      <c r="A524" s="30"/>
    </row>
    <row r="525" ht="12.75">
      <c r="A525" s="30"/>
    </row>
    <row r="526" ht="12.75">
      <c r="A526" s="30"/>
    </row>
    <row r="527" ht="12.75">
      <c r="A527" s="30"/>
    </row>
    <row r="528" ht="12.75">
      <c r="A528" s="30"/>
    </row>
    <row r="529" ht="12.75">
      <c r="A529" s="30"/>
    </row>
    <row r="530" ht="12.75">
      <c r="A530" s="30"/>
    </row>
    <row r="531" ht="12.75">
      <c r="A531" s="30"/>
    </row>
    <row r="532" ht="12.75">
      <c r="A532" s="30"/>
    </row>
    <row r="533" ht="12.75">
      <c r="A533" s="30"/>
    </row>
    <row r="534" ht="12.75">
      <c r="A534" s="30"/>
    </row>
    <row r="535" ht="12.75">
      <c r="A535" s="30"/>
    </row>
    <row r="536" ht="12.75">
      <c r="A536" s="30"/>
    </row>
    <row r="537" ht="12.75">
      <c r="A537" s="30"/>
    </row>
    <row r="538" ht="12.75">
      <c r="A538" s="30"/>
    </row>
    <row r="539" ht="12.75">
      <c r="A539" s="30"/>
    </row>
    <row r="540" ht="12.75">
      <c r="A540" s="30"/>
    </row>
    <row r="541" ht="12.75">
      <c r="A541" s="30"/>
    </row>
    <row r="542" ht="12.75">
      <c r="A542" s="30"/>
    </row>
    <row r="543" ht="12.75">
      <c r="A543" s="30"/>
    </row>
    <row r="544" ht="12.75">
      <c r="A544" s="30"/>
    </row>
    <row r="545" ht="12.75">
      <c r="A545" s="30"/>
    </row>
    <row r="546" ht="12.75">
      <c r="A546" s="30"/>
    </row>
    <row r="547" ht="12.75">
      <c r="A547" s="30"/>
    </row>
    <row r="548" ht="12.75">
      <c r="A548" s="30"/>
    </row>
    <row r="549" ht="12.75">
      <c r="A549" s="30"/>
    </row>
    <row r="550" ht="12.75">
      <c r="A550" s="30"/>
    </row>
    <row r="551" ht="12.75">
      <c r="A551" s="30"/>
    </row>
    <row r="552" ht="12.75">
      <c r="A552" s="30"/>
    </row>
    <row r="553" ht="12.75">
      <c r="A553" s="30"/>
    </row>
    <row r="554" ht="12.75">
      <c r="A554" s="30"/>
    </row>
    <row r="555" ht="12.75">
      <c r="A555" s="30"/>
    </row>
    <row r="556" ht="12.75">
      <c r="A556" s="30"/>
    </row>
    <row r="557" ht="12.75">
      <c r="A557" s="30"/>
    </row>
    <row r="558" ht="12.75">
      <c r="A558" s="30"/>
    </row>
    <row r="559" ht="12.75">
      <c r="A559" s="30"/>
    </row>
    <row r="560" ht="12.75">
      <c r="A560" s="30"/>
    </row>
    <row r="561" ht="12.75">
      <c r="A561" s="30"/>
    </row>
    <row r="562" ht="12.75">
      <c r="A562" s="30"/>
    </row>
    <row r="563" ht="12.75">
      <c r="A563" s="30"/>
    </row>
    <row r="564" ht="12.75">
      <c r="A564" s="30"/>
    </row>
    <row r="565" ht="12.75">
      <c r="A565" s="30"/>
    </row>
    <row r="566" ht="12.75">
      <c r="A566" s="30"/>
    </row>
    <row r="567" ht="12.75">
      <c r="A567" s="30"/>
    </row>
    <row r="568" ht="12.75">
      <c r="A568" s="30"/>
    </row>
    <row r="569" ht="12.75">
      <c r="A569" s="30"/>
    </row>
    <row r="570" ht="12.75">
      <c r="A570" s="30"/>
    </row>
    <row r="571" ht="12.75">
      <c r="A571" s="30"/>
    </row>
    <row r="572" ht="12.75">
      <c r="A572" s="30"/>
    </row>
    <row r="573" ht="12.75">
      <c r="A573" s="30"/>
    </row>
    <row r="574" ht="12.75">
      <c r="A574" s="30"/>
    </row>
    <row r="575" ht="12.75">
      <c r="A575" s="30"/>
    </row>
    <row r="576" ht="12.75">
      <c r="A576" s="30"/>
    </row>
    <row r="577" ht="12.75">
      <c r="A577" s="30"/>
    </row>
    <row r="578" ht="12.75">
      <c r="A578" s="30"/>
    </row>
    <row r="579" ht="12.75">
      <c r="A579" s="30"/>
    </row>
    <row r="580" ht="12.75">
      <c r="A580" s="30"/>
    </row>
    <row r="581" ht="12.75">
      <c r="A581" s="30"/>
    </row>
    <row r="582" ht="12.75">
      <c r="A582" s="30"/>
    </row>
    <row r="583" ht="12.75">
      <c r="A583" s="30"/>
    </row>
    <row r="584" ht="12.75">
      <c r="A584" s="30"/>
    </row>
    <row r="585" ht="12.75">
      <c r="A585" s="30"/>
    </row>
    <row r="586" ht="12.75">
      <c r="A586" s="30"/>
    </row>
    <row r="587" ht="12.75">
      <c r="A587" s="30"/>
    </row>
    <row r="588" ht="12.75">
      <c r="A588" s="30"/>
    </row>
    <row r="589" ht="12.75">
      <c r="A589" s="30"/>
    </row>
    <row r="590" ht="12.75">
      <c r="A590" s="30"/>
    </row>
    <row r="591" ht="12.75">
      <c r="A591" s="30"/>
    </row>
    <row r="592" ht="12.75">
      <c r="A592" s="30"/>
    </row>
    <row r="593" ht="12.75">
      <c r="A593" s="30"/>
    </row>
    <row r="594" ht="12.75">
      <c r="A594" s="30"/>
    </row>
    <row r="595" ht="12.75">
      <c r="A595" s="30"/>
    </row>
    <row r="596" ht="12.75">
      <c r="A596" s="30"/>
    </row>
    <row r="597" ht="12.75">
      <c r="A597" s="30"/>
    </row>
    <row r="598" ht="12.75">
      <c r="A598" s="30"/>
    </row>
    <row r="599" ht="12.75">
      <c r="A599" s="30"/>
    </row>
    <row r="600" ht="12.75">
      <c r="A600" s="30"/>
    </row>
    <row r="601" ht="12.75">
      <c r="A601" s="30"/>
    </row>
    <row r="602" ht="12.75">
      <c r="A602" s="30"/>
    </row>
    <row r="603" ht="12.75">
      <c r="A603" s="30"/>
    </row>
    <row r="604" ht="12.75">
      <c r="A604" s="30"/>
    </row>
    <row r="605" ht="12.75">
      <c r="A605" s="30"/>
    </row>
    <row r="606" ht="12.75">
      <c r="A606" s="30"/>
    </row>
    <row r="607" ht="12.75">
      <c r="A607" s="30"/>
    </row>
    <row r="608" ht="12.75">
      <c r="A608" s="30"/>
    </row>
    <row r="609" ht="12.75">
      <c r="A609" s="30"/>
    </row>
    <row r="610" ht="12.75">
      <c r="A610" s="30"/>
    </row>
    <row r="611" ht="12.75">
      <c r="A611" s="30"/>
    </row>
    <row r="612" ht="12.75">
      <c r="A612" s="30"/>
    </row>
    <row r="613" ht="12.75">
      <c r="A613" s="30"/>
    </row>
    <row r="614" ht="12.75">
      <c r="A614" s="30"/>
    </row>
    <row r="615" ht="12.75">
      <c r="A615" s="30"/>
    </row>
    <row r="616" ht="12.75">
      <c r="A616" s="30"/>
    </row>
    <row r="617" ht="12.75">
      <c r="A617" s="30"/>
    </row>
    <row r="618" ht="12.75">
      <c r="A618" s="30"/>
    </row>
    <row r="619" ht="12.75">
      <c r="A619" s="30"/>
    </row>
    <row r="620" ht="12.75">
      <c r="A620" s="30"/>
    </row>
    <row r="621" ht="12.75">
      <c r="A621" s="30"/>
    </row>
    <row r="622" ht="12.75">
      <c r="A622" s="30"/>
    </row>
    <row r="623" ht="12.75">
      <c r="A623" s="30"/>
    </row>
    <row r="624" ht="12.75">
      <c r="A624" s="30"/>
    </row>
    <row r="625" ht="12.75">
      <c r="A625" s="30"/>
    </row>
    <row r="626" ht="12.75">
      <c r="A626" s="30"/>
    </row>
    <row r="627" ht="12.75">
      <c r="A627" s="30"/>
    </row>
    <row r="628" ht="12.75">
      <c r="A628" s="30"/>
    </row>
    <row r="629" ht="12.75">
      <c r="A629" s="30"/>
    </row>
    <row r="630" ht="12.75">
      <c r="A630" s="30"/>
    </row>
    <row r="631" ht="12.75">
      <c r="A631" s="30"/>
    </row>
    <row r="632" ht="12.75">
      <c r="A632" s="30"/>
    </row>
    <row r="633" ht="12.75">
      <c r="A633" s="30"/>
    </row>
    <row r="634" ht="12.75">
      <c r="A634" s="30"/>
    </row>
    <row r="635" ht="12.75">
      <c r="A635" s="30"/>
    </row>
    <row r="636" ht="12.75">
      <c r="A636" s="30"/>
    </row>
    <row r="637" ht="12.75">
      <c r="A637" s="30"/>
    </row>
    <row r="638" ht="12.75">
      <c r="A638" s="30"/>
    </row>
    <row r="639" ht="12.75">
      <c r="A639" s="30"/>
    </row>
    <row r="640" ht="12.75">
      <c r="A640" s="30"/>
    </row>
    <row r="641" ht="12.75">
      <c r="A641" s="30"/>
    </row>
    <row r="642" ht="12.75">
      <c r="A642" s="30"/>
    </row>
    <row r="643" ht="12.75">
      <c r="A643" s="30"/>
    </row>
    <row r="644" ht="12.75">
      <c r="A644" s="30"/>
    </row>
    <row r="645" ht="12.75">
      <c r="A645" s="30"/>
    </row>
    <row r="646" ht="12.75">
      <c r="A646" s="30"/>
    </row>
    <row r="647" ht="12.75">
      <c r="A647" s="30"/>
    </row>
    <row r="648" ht="12.75">
      <c r="A648" s="30"/>
    </row>
    <row r="649" ht="12.75">
      <c r="A649" s="30"/>
    </row>
    <row r="650" ht="12.75">
      <c r="A650" s="30"/>
    </row>
    <row r="651" ht="12.75">
      <c r="A651" s="30"/>
    </row>
    <row r="652" ht="12.75">
      <c r="A652" s="30"/>
    </row>
    <row r="653" ht="12.75">
      <c r="A653" s="30"/>
    </row>
    <row r="654" ht="12.75">
      <c r="A654" s="30"/>
    </row>
    <row r="655" ht="12.75">
      <c r="A655" s="30"/>
    </row>
    <row r="656" ht="12.75">
      <c r="A656" s="30"/>
    </row>
    <row r="657" ht="12.75">
      <c r="A657" s="30"/>
    </row>
    <row r="658" ht="12.75">
      <c r="A658" s="30"/>
    </row>
    <row r="659" ht="12.75">
      <c r="A659" s="30"/>
    </row>
    <row r="660" ht="12.75">
      <c r="A660" s="30"/>
    </row>
    <row r="661" ht="12.75">
      <c r="A661" s="30"/>
    </row>
    <row r="662" ht="12.75">
      <c r="A662" s="30"/>
    </row>
    <row r="663" ht="12.75">
      <c r="A663" s="30"/>
    </row>
    <row r="664" ht="12.75">
      <c r="A664" s="30"/>
    </row>
    <row r="665" ht="12.75">
      <c r="A665" s="30"/>
    </row>
    <row r="666" ht="12.75">
      <c r="A666" s="30"/>
    </row>
    <row r="667" ht="12.75">
      <c r="A667" s="30"/>
    </row>
    <row r="668" ht="12.75">
      <c r="A668" s="30"/>
    </row>
    <row r="669" ht="12.75">
      <c r="A669" s="30"/>
    </row>
    <row r="670" ht="12.75">
      <c r="A670" s="30"/>
    </row>
    <row r="671" ht="12.75">
      <c r="A671" s="30"/>
    </row>
    <row r="672" ht="12.75">
      <c r="A672" s="30"/>
    </row>
    <row r="673" ht="12.75">
      <c r="A673" s="30"/>
    </row>
    <row r="674" ht="12.75">
      <c r="A674" s="30"/>
    </row>
    <row r="675" ht="12.75">
      <c r="A675" s="30"/>
    </row>
    <row r="676" ht="12.75">
      <c r="A676" s="30"/>
    </row>
    <row r="677" ht="12.75">
      <c r="A677" s="30"/>
    </row>
    <row r="678" ht="12.75">
      <c r="A678" s="30"/>
    </row>
    <row r="679" ht="12.75">
      <c r="A679" s="30"/>
    </row>
    <row r="680" ht="12.75">
      <c r="A680" s="30"/>
    </row>
    <row r="681" ht="12.75">
      <c r="A681" s="30"/>
    </row>
    <row r="682" ht="12.75">
      <c r="A682" s="30"/>
    </row>
    <row r="683" ht="12.75">
      <c r="A683" s="30"/>
    </row>
    <row r="684" ht="12.75">
      <c r="A684" s="30"/>
    </row>
    <row r="685" ht="12.75">
      <c r="A685" s="30"/>
    </row>
    <row r="686" ht="12.75">
      <c r="A686" s="30"/>
    </row>
    <row r="687" ht="12.75">
      <c r="A687" s="30"/>
    </row>
    <row r="688" ht="12.75">
      <c r="A688" s="30"/>
    </row>
    <row r="689" ht="12.75">
      <c r="A689" s="30"/>
    </row>
    <row r="690" ht="12.75">
      <c r="A690" s="30"/>
    </row>
    <row r="691" ht="12.75">
      <c r="A691" s="30"/>
    </row>
    <row r="692" ht="12.75">
      <c r="A692" s="30"/>
    </row>
    <row r="693" ht="12.75">
      <c r="A693" s="30"/>
    </row>
    <row r="694" ht="12.75">
      <c r="A694" s="30"/>
    </row>
    <row r="695" ht="12.75">
      <c r="A695" s="30"/>
    </row>
    <row r="696" ht="12.75">
      <c r="A696" s="30"/>
    </row>
    <row r="697" ht="12.75">
      <c r="A697" s="30"/>
    </row>
    <row r="698" ht="12.75">
      <c r="A698" s="30"/>
    </row>
    <row r="699" ht="12.75">
      <c r="A699" s="30"/>
    </row>
    <row r="700" ht="12.75">
      <c r="A700" s="30"/>
    </row>
    <row r="701" ht="12.75">
      <c r="A701" s="30"/>
    </row>
    <row r="702" ht="12.75">
      <c r="A702" s="30"/>
    </row>
    <row r="703" ht="12.75">
      <c r="A703" s="30"/>
    </row>
    <row r="704" ht="12.75">
      <c r="A704" s="30"/>
    </row>
    <row r="705" ht="12.75">
      <c r="A705" s="30"/>
    </row>
    <row r="706" ht="12.75">
      <c r="A706" s="30"/>
    </row>
    <row r="707" ht="12.75">
      <c r="A707" s="30"/>
    </row>
    <row r="708" ht="12.75">
      <c r="A708" s="30"/>
    </row>
    <row r="709" ht="12.75">
      <c r="A709" s="30"/>
    </row>
    <row r="710" ht="12.75">
      <c r="A710" s="30"/>
    </row>
    <row r="711" ht="12.75">
      <c r="A711" s="30"/>
    </row>
    <row r="712" ht="12.75">
      <c r="A712" s="30"/>
    </row>
    <row r="713" ht="12.75">
      <c r="A713" s="30"/>
    </row>
    <row r="714" ht="12.75">
      <c r="A714" s="30"/>
    </row>
    <row r="715" ht="12.75">
      <c r="A715" s="30"/>
    </row>
    <row r="716" ht="12.75">
      <c r="A716" s="30"/>
    </row>
    <row r="717" ht="12.75">
      <c r="A717" s="30"/>
    </row>
    <row r="718" ht="12.75">
      <c r="A718" s="30"/>
    </row>
    <row r="719" ht="12.75">
      <c r="A719" s="30"/>
    </row>
    <row r="720" ht="12.75">
      <c r="A720" s="30"/>
    </row>
    <row r="721" ht="12.75">
      <c r="A721" s="30"/>
    </row>
    <row r="722" ht="12.75">
      <c r="A722" s="30"/>
    </row>
    <row r="723" ht="12.75">
      <c r="A723" s="30"/>
    </row>
    <row r="724" ht="12.75">
      <c r="A724" s="30"/>
    </row>
    <row r="725" ht="12.75">
      <c r="A725" s="30"/>
    </row>
    <row r="726" ht="12.75">
      <c r="A726" s="30"/>
    </row>
    <row r="727" ht="12.75">
      <c r="A727" s="30"/>
    </row>
    <row r="728" ht="12.75">
      <c r="A728" s="30"/>
    </row>
    <row r="729" ht="12.75">
      <c r="A729" s="30"/>
    </row>
    <row r="730" ht="12.75">
      <c r="A730" s="30"/>
    </row>
    <row r="731" ht="12.75">
      <c r="A731" s="30"/>
    </row>
    <row r="732" ht="12.75">
      <c r="A732" s="30"/>
    </row>
    <row r="733" ht="12.75">
      <c r="A733" s="30"/>
    </row>
    <row r="734" ht="12.75">
      <c r="A734" s="30"/>
    </row>
    <row r="735" ht="12.75">
      <c r="A735" s="30"/>
    </row>
    <row r="736" ht="12.75">
      <c r="A736" s="30"/>
    </row>
    <row r="737" ht="12.75">
      <c r="A737" s="30"/>
    </row>
    <row r="738" ht="12.75">
      <c r="A738" s="30"/>
    </row>
    <row r="739" ht="12.75">
      <c r="A739" s="30"/>
    </row>
    <row r="740" ht="12.75">
      <c r="A740" s="30"/>
    </row>
    <row r="741" ht="12.75">
      <c r="A741" s="30"/>
    </row>
    <row r="742" ht="12.75">
      <c r="A742" s="30"/>
    </row>
    <row r="743" ht="12.75">
      <c r="A743" s="30"/>
    </row>
    <row r="744" ht="12.75">
      <c r="A744" s="30"/>
    </row>
    <row r="745" ht="12.75">
      <c r="A745" s="30"/>
    </row>
    <row r="746" ht="12.75">
      <c r="A746" s="30"/>
    </row>
    <row r="747" ht="12.75">
      <c r="A747" s="30"/>
    </row>
    <row r="748" ht="12.75">
      <c r="A748" s="30"/>
    </row>
    <row r="749" ht="12.75">
      <c r="A749" s="30"/>
    </row>
    <row r="750" ht="12.75">
      <c r="A750" s="30"/>
    </row>
    <row r="751" ht="12.75">
      <c r="A751" s="30"/>
    </row>
    <row r="752" ht="12.75">
      <c r="A752" s="30"/>
    </row>
    <row r="753" ht="12.75">
      <c r="A753" s="30"/>
    </row>
    <row r="754" ht="12.75">
      <c r="A754" s="30"/>
    </row>
    <row r="755" ht="12.75">
      <c r="A755" s="30"/>
    </row>
    <row r="756" ht="12.75">
      <c r="A756" s="30"/>
    </row>
    <row r="757" ht="12.75">
      <c r="A757" s="30"/>
    </row>
    <row r="758" ht="12.75">
      <c r="A758" s="30"/>
    </row>
    <row r="759" ht="12.75">
      <c r="A759" s="30"/>
    </row>
    <row r="760" ht="12.75">
      <c r="A760" s="30"/>
    </row>
    <row r="761" ht="12.75">
      <c r="A761" s="30"/>
    </row>
    <row r="762" ht="12.75">
      <c r="A762" s="30"/>
    </row>
    <row r="763" ht="12.75">
      <c r="A763" s="30"/>
    </row>
    <row r="764" ht="12.75">
      <c r="A764" s="30"/>
    </row>
    <row r="765" ht="12.75">
      <c r="A765" s="30"/>
    </row>
    <row r="766" ht="12.75">
      <c r="A766" s="30"/>
    </row>
    <row r="767" ht="12.75">
      <c r="A767" s="30"/>
    </row>
    <row r="768" ht="12.75">
      <c r="A768" s="30"/>
    </row>
    <row r="769" ht="12.75">
      <c r="A769" s="30"/>
    </row>
    <row r="770" ht="12.75">
      <c r="A770" s="30"/>
    </row>
    <row r="771" ht="12.75">
      <c r="A771" s="30"/>
    </row>
    <row r="772" ht="12.75">
      <c r="A772" s="30"/>
    </row>
    <row r="773" ht="12.75">
      <c r="A773" s="30"/>
    </row>
    <row r="774" ht="12.75">
      <c r="A774" s="30"/>
    </row>
    <row r="775" ht="12.75">
      <c r="A775" s="30"/>
    </row>
    <row r="776" ht="12.75">
      <c r="A776" s="30"/>
    </row>
    <row r="777" ht="12.75">
      <c r="A777" s="30"/>
    </row>
    <row r="778" ht="12.75">
      <c r="A778" s="30"/>
    </row>
    <row r="779" ht="12.75">
      <c r="A779" s="30"/>
    </row>
    <row r="780" ht="12.75">
      <c r="A780" s="30"/>
    </row>
    <row r="781" ht="12.75">
      <c r="A781" s="30"/>
    </row>
    <row r="782" ht="12.75">
      <c r="A782" s="30"/>
    </row>
    <row r="783" ht="12.75">
      <c r="A783" s="30"/>
    </row>
    <row r="784" ht="12.75">
      <c r="A784" s="30"/>
    </row>
    <row r="785" ht="12.75">
      <c r="A785" s="30"/>
    </row>
    <row r="786" ht="12.75">
      <c r="A786" s="30"/>
    </row>
    <row r="787" ht="12.75">
      <c r="A787" s="30"/>
    </row>
    <row r="788" ht="12.75">
      <c r="A788" s="30"/>
    </row>
    <row r="789" ht="12.75">
      <c r="A789" s="30"/>
    </row>
    <row r="790" ht="12.75">
      <c r="A790" s="30"/>
    </row>
    <row r="791" ht="12.75">
      <c r="A791" s="30"/>
    </row>
    <row r="792" ht="12.75">
      <c r="A792" s="30"/>
    </row>
    <row r="793" ht="12.75">
      <c r="A793" s="30"/>
    </row>
    <row r="794" ht="12.75">
      <c r="A794" s="30"/>
    </row>
    <row r="795" ht="12.75">
      <c r="A795" s="30"/>
    </row>
    <row r="796" ht="12.75">
      <c r="A796" s="30"/>
    </row>
    <row r="797" ht="12.75">
      <c r="A797" s="30"/>
    </row>
    <row r="798" ht="12.75">
      <c r="A798" s="30"/>
    </row>
    <row r="799" ht="12.75">
      <c r="A799" s="30"/>
    </row>
    <row r="800" ht="12.75">
      <c r="A800" s="30"/>
    </row>
    <row r="801" ht="12.75">
      <c r="A801" s="30"/>
    </row>
    <row r="802" ht="12.75">
      <c r="A802" s="30"/>
    </row>
    <row r="803" ht="12.75">
      <c r="A803" s="30"/>
    </row>
    <row r="804" ht="12.75">
      <c r="A804" s="30"/>
    </row>
    <row r="805" ht="12.75">
      <c r="A805" s="30"/>
    </row>
    <row r="806" ht="12.75">
      <c r="A806" s="30"/>
    </row>
    <row r="807" ht="12.75">
      <c r="A807" s="30"/>
    </row>
    <row r="808" ht="12.75">
      <c r="A808" s="30"/>
    </row>
    <row r="809" ht="12.75">
      <c r="A809" s="30"/>
    </row>
    <row r="810" ht="12.75">
      <c r="A810" s="30"/>
    </row>
    <row r="811" ht="12.75">
      <c r="A811" s="30"/>
    </row>
    <row r="812" ht="12.75">
      <c r="A812" s="30"/>
    </row>
    <row r="813" ht="12.75">
      <c r="A813" s="30"/>
    </row>
    <row r="814" ht="12.75">
      <c r="A814" s="30"/>
    </row>
    <row r="815" ht="12.75">
      <c r="A815" s="30"/>
    </row>
    <row r="816" ht="12.75">
      <c r="A816" s="30"/>
    </row>
    <row r="817" ht="12.75">
      <c r="A817" s="30"/>
    </row>
    <row r="818" ht="12.75">
      <c r="A818" s="30"/>
    </row>
    <row r="819" ht="12.75">
      <c r="A819" s="30"/>
    </row>
    <row r="820" ht="12.75">
      <c r="A820" s="30"/>
    </row>
    <row r="821" ht="12.75">
      <c r="A821" s="30"/>
    </row>
    <row r="822" ht="12.75">
      <c r="A822" s="30"/>
    </row>
    <row r="823" ht="12.75">
      <c r="A823" s="30"/>
    </row>
    <row r="824" ht="12.75">
      <c r="A824" s="30"/>
    </row>
    <row r="825" ht="12.75">
      <c r="A825" s="30"/>
    </row>
    <row r="826" ht="12.75">
      <c r="A826" s="30"/>
    </row>
    <row r="827" ht="12.75">
      <c r="A827" s="30"/>
    </row>
    <row r="828" ht="12.75">
      <c r="A828" s="30"/>
    </row>
    <row r="829" ht="12.75">
      <c r="A829" s="30"/>
    </row>
    <row r="830" ht="12.75">
      <c r="A830" s="30"/>
    </row>
    <row r="831" ht="12.75">
      <c r="A831" s="30"/>
    </row>
    <row r="832" ht="12.75">
      <c r="A832" s="30"/>
    </row>
    <row r="833" ht="12.75">
      <c r="A833" s="30"/>
    </row>
    <row r="834" ht="12.75">
      <c r="A834" s="30"/>
    </row>
    <row r="835" ht="12.75">
      <c r="A835" s="30"/>
    </row>
    <row r="836" ht="12.75">
      <c r="A836" s="30"/>
    </row>
    <row r="837" ht="12.75">
      <c r="A837" s="30"/>
    </row>
    <row r="838" ht="12.75">
      <c r="A838" s="30"/>
    </row>
    <row r="839" ht="12.75">
      <c r="A839" s="30"/>
    </row>
    <row r="840" ht="12.75">
      <c r="A840" s="30"/>
    </row>
    <row r="841" ht="12.75">
      <c r="A841" s="30"/>
    </row>
    <row r="842" ht="12.75">
      <c r="A842" s="30"/>
    </row>
    <row r="843" ht="12.75">
      <c r="A843" s="30"/>
    </row>
    <row r="844" ht="12.75">
      <c r="A844" s="30"/>
    </row>
    <row r="845" ht="12.75">
      <c r="A845" s="30"/>
    </row>
    <row r="846" ht="12.75">
      <c r="A846" s="30"/>
    </row>
    <row r="847" ht="12.75">
      <c r="A847" s="30"/>
    </row>
    <row r="848" ht="12.75">
      <c r="A848" s="30"/>
    </row>
    <row r="849" ht="12.75">
      <c r="A849" s="30"/>
    </row>
    <row r="850" ht="12.75">
      <c r="A850" s="30"/>
    </row>
    <row r="851" ht="12.75">
      <c r="A851" s="30"/>
    </row>
    <row r="852" ht="12.75">
      <c r="A852" s="30"/>
    </row>
    <row r="853" ht="12.75">
      <c r="A853" s="30"/>
    </row>
    <row r="854" ht="12.75">
      <c r="A854" s="30"/>
    </row>
    <row r="855" ht="12.75">
      <c r="A855" s="30"/>
    </row>
    <row r="856" ht="12.75">
      <c r="A856" s="30"/>
    </row>
    <row r="857" ht="12.75">
      <c r="A857" s="30"/>
    </row>
    <row r="858" ht="12.75">
      <c r="A858" s="30"/>
    </row>
    <row r="859" ht="12.75">
      <c r="A859" s="30"/>
    </row>
    <row r="860" ht="12.75">
      <c r="A860" s="30"/>
    </row>
    <row r="861" ht="12.75">
      <c r="A861" s="30"/>
    </row>
    <row r="862" ht="12.75">
      <c r="A862" s="30"/>
    </row>
    <row r="863" ht="12.75">
      <c r="A863" s="30"/>
    </row>
    <row r="864" ht="12.75">
      <c r="A864" s="30"/>
    </row>
    <row r="865" ht="12.75">
      <c r="A865" s="30"/>
    </row>
    <row r="866" ht="12.75">
      <c r="A866" s="30"/>
    </row>
    <row r="867" ht="12.75">
      <c r="A867" s="30"/>
    </row>
    <row r="868" ht="12.75">
      <c r="A868" s="30"/>
    </row>
    <row r="869" ht="12.75">
      <c r="A869" s="30"/>
    </row>
    <row r="870" ht="12.75">
      <c r="A870" s="30"/>
    </row>
    <row r="871" ht="12.75">
      <c r="A871" s="30"/>
    </row>
    <row r="872" ht="12.75">
      <c r="A872" s="30"/>
    </row>
    <row r="873" ht="12.75">
      <c r="A873" s="30"/>
    </row>
    <row r="874" ht="12.75">
      <c r="A874" s="30"/>
    </row>
    <row r="875" ht="12.75">
      <c r="A875" s="30"/>
    </row>
    <row r="876" ht="12.75">
      <c r="A876" s="30"/>
    </row>
    <row r="877" ht="12.75">
      <c r="A877" s="30"/>
    </row>
    <row r="878" ht="12.75">
      <c r="A878" s="30"/>
    </row>
    <row r="879" ht="12.75">
      <c r="A879" s="30"/>
    </row>
    <row r="880" ht="12.75">
      <c r="A880" s="30"/>
    </row>
    <row r="881" ht="12.75">
      <c r="A881" s="30"/>
    </row>
    <row r="882" ht="12.75">
      <c r="A882" s="30"/>
    </row>
    <row r="883" ht="12.75">
      <c r="A883" s="30"/>
    </row>
    <row r="884" ht="12.75">
      <c r="A884" s="30"/>
    </row>
    <row r="885" ht="12.75">
      <c r="A885" s="30"/>
    </row>
    <row r="886" ht="12.75">
      <c r="A886" s="30"/>
    </row>
    <row r="887" ht="12.75">
      <c r="A887" s="30"/>
    </row>
    <row r="888" ht="12.75">
      <c r="A888" s="30"/>
    </row>
    <row r="889" ht="12.75">
      <c r="A889" s="30"/>
    </row>
    <row r="890" ht="12.75">
      <c r="A890" s="30"/>
    </row>
    <row r="891" ht="12.75">
      <c r="A891" s="30"/>
    </row>
    <row r="892" ht="12.75">
      <c r="A892" s="30"/>
    </row>
    <row r="893" ht="12.75">
      <c r="A893" s="30"/>
    </row>
    <row r="894" ht="12.75">
      <c r="A894" s="30"/>
    </row>
    <row r="895" ht="12.75">
      <c r="A895" s="30"/>
    </row>
    <row r="896" ht="12.75">
      <c r="A896" s="30"/>
    </row>
    <row r="897" ht="12.75">
      <c r="A897" s="30"/>
    </row>
    <row r="898" ht="12.75">
      <c r="A898" s="30"/>
    </row>
    <row r="899" ht="12.75">
      <c r="A899" s="30"/>
    </row>
    <row r="900" ht="12.75">
      <c r="A900" s="30"/>
    </row>
    <row r="901" ht="12.75">
      <c r="A901" s="30"/>
    </row>
    <row r="902" ht="12.75">
      <c r="A902" s="30"/>
    </row>
    <row r="903" ht="12.75">
      <c r="A903" s="30"/>
    </row>
    <row r="904" ht="12.75">
      <c r="A904" s="30"/>
    </row>
    <row r="905" ht="12.75">
      <c r="A905" s="30"/>
    </row>
    <row r="906" ht="12.75">
      <c r="A906" s="30"/>
    </row>
    <row r="907" ht="12.75">
      <c r="A907" s="30"/>
    </row>
    <row r="908" ht="12.75">
      <c r="A908" s="30"/>
    </row>
    <row r="909" ht="12.75">
      <c r="A909" s="30"/>
    </row>
    <row r="910" ht="12.75">
      <c r="A910" s="30"/>
    </row>
    <row r="911" ht="12.75">
      <c r="A911" s="30"/>
    </row>
    <row r="912" ht="12.75">
      <c r="A912" s="30"/>
    </row>
    <row r="913" ht="12.75">
      <c r="A913" s="30"/>
    </row>
    <row r="914" ht="12.75">
      <c r="A914" s="30"/>
    </row>
    <row r="915" ht="12.75">
      <c r="A915" s="30"/>
    </row>
    <row r="916" ht="12.75">
      <c r="A916" s="30"/>
    </row>
    <row r="917" ht="12.75">
      <c r="A917" s="30"/>
    </row>
    <row r="918" ht="12.75">
      <c r="A918" s="30"/>
    </row>
    <row r="919" ht="12.75">
      <c r="A919" s="30"/>
    </row>
    <row r="920" ht="12.75">
      <c r="A920" s="30"/>
    </row>
    <row r="921" ht="12.75">
      <c r="A921" s="30"/>
    </row>
    <row r="922" ht="12.75">
      <c r="A922" s="30"/>
    </row>
    <row r="923" ht="12.75">
      <c r="A923" s="30"/>
    </row>
    <row r="924" ht="12.75">
      <c r="A924" s="30"/>
    </row>
    <row r="925" ht="12.75">
      <c r="A925" s="30"/>
    </row>
    <row r="926" ht="12.75">
      <c r="A926" s="30"/>
    </row>
    <row r="927" ht="12.75">
      <c r="A927" s="30"/>
    </row>
    <row r="928" ht="12.75">
      <c r="A928" s="30"/>
    </row>
    <row r="929" ht="12.75">
      <c r="A929" s="30"/>
    </row>
    <row r="930" ht="12.75">
      <c r="A930" s="30"/>
    </row>
    <row r="931" ht="12.75">
      <c r="A931" s="30"/>
    </row>
    <row r="932" ht="12.75">
      <c r="A932" s="30"/>
    </row>
    <row r="933" ht="12.75">
      <c r="A933" s="30"/>
    </row>
    <row r="934" ht="12.75">
      <c r="A934" s="30"/>
    </row>
    <row r="935" ht="12.75">
      <c r="A935" s="30"/>
    </row>
    <row r="936" ht="12.75">
      <c r="A936" s="30"/>
    </row>
    <row r="937" ht="12.75">
      <c r="A937" s="30"/>
    </row>
    <row r="938" ht="12.75">
      <c r="A938" s="30"/>
    </row>
    <row r="939" ht="12.75">
      <c r="A939" s="30"/>
    </row>
    <row r="940" ht="12.75">
      <c r="A940" s="30"/>
    </row>
    <row r="941" ht="12.75">
      <c r="A941" s="30"/>
    </row>
    <row r="942" ht="12.75">
      <c r="A942" s="30"/>
    </row>
    <row r="943" ht="12.75">
      <c r="A943" s="30"/>
    </row>
    <row r="944" ht="12.75">
      <c r="A944" s="30"/>
    </row>
    <row r="945" ht="12.75">
      <c r="A945" s="30"/>
    </row>
    <row r="946" ht="12.75">
      <c r="A946" s="30"/>
    </row>
    <row r="947" ht="12.75">
      <c r="A947" s="30"/>
    </row>
    <row r="948" ht="12.75">
      <c r="A948" s="30"/>
    </row>
    <row r="949" ht="12.75">
      <c r="A949" s="30"/>
    </row>
    <row r="950" ht="12.75">
      <c r="A950" s="30"/>
    </row>
    <row r="951" ht="12.75">
      <c r="A951" s="30"/>
    </row>
    <row r="952" ht="12.75">
      <c r="A952" s="30"/>
    </row>
    <row r="953" ht="12.75">
      <c r="A953" s="30"/>
    </row>
    <row r="954" ht="12.75">
      <c r="A954" s="30"/>
    </row>
    <row r="955" ht="12.75">
      <c r="A955" s="30"/>
    </row>
    <row r="956" ht="12.75">
      <c r="A956" s="30"/>
    </row>
    <row r="957" ht="12.75">
      <c r="A957" s="30"/>
    </row>
    <row r="958" ht="12.75">
      <c r="A958" s="30"/>
    </row>
    <row r="959" ht="12.75">
      <c r="A959" s="30"/>
    </row>
    <row r="960" ht="12.75">
      <c r="A960" s="30"/>
    </row>
    <row r="961" ht="12.75">
      <c r="A961" s="30"/>
    </row>
    <row r="962" ht="12.75">
      <c r="A962" s="30"/>
    </row>
    <row r="963" ht="12.75">
      <c r="A963" s="30"/>
    </row>
    <row r="964" ht="12.75">
      <c r="A964" s="30"/>
    </row>
    <row r="965" ht="12.75">
      <c r="A965" s="30"/>
    </row>
    <row r="966" ht="12.75">
      <c r="A966" s="30"/>
    </row>
    <row r="967" ht="12.75">
      <c r="A967" s="30"/>
    </row>
    <row r="968" ht="12.75">
      <c r="A968" s="30"/>
    </row>
    <row r="969" ht="12.75">
      <c r="A969" s="30"/>
    </row>
    <row r="970" ht="12.75">
      <c r="A970" s="30"/>
    </row>
    <row r="971" ht="12.75">
      <c r="A971" s="30"/>
    </row>
    <row r="972" ht="12.75">
      <c r="A972" s="30"/>
    </row>
    <row r="973" ht="12.75">
      <c r="A973" s="30"/>
    </row>
    <row r="974" ht="12.75">
      <c r="A974" s="30"/>
    </row>
    <row r="975" ht="12.75">
      <c r="A975" s="30"/>
    </row>
    <row r="976" ht="12.75">
      <c r="A976" s="30"/>
    </row>
    <row r="977" ht="12.75">
      <c r="A977" s="30"/>
    </row>
    <row r="978" ht="12.75">
      <c r="A978" s="30"/>
    </row>
    <row r="979" ht="12.75">
      <c r="A979" s="30"/>
    </row>
    <row r="980" ht="12.75">
      <c r="A980" s="30"/>
    </row>
    <row r="981" ht="12.75">
      <c r="A981" s="30"/>
    </row>
    <row r="982" ht="12.75">
      <c r="A982" s="30"/>
    </row>
    <row r="983" ht="12.75">
      <c r="A983" s="30"/>
    </row>
    <row r="984" ht="12.75">
      <c r="A984" s="30"/>
    </row>
    <row r="985" ht="12.75">
      <c r="A985" s="30"/>
    </row>
    <row r="986" ht="12.75">
      <c r="A986" s="30"/>
    </row>
    <row r="987" ht="12.75">
      <c r="A987" s="30"/>
    </row>
    <row r="988" ht="12.75">
      <c r="A988" s="30"/>
    </row>
    <row r="989" ht="12.75">
      <c r="A989" s="30"/>
    </row>
    <row r="990" ht="12.75">
      <c r="A990" s="30"/>
    </row>
    <row r="991" ht="12.75">
      <c r="A991" s="30"/>
    </row>
    <row r="992" ht="12.75">
      <c r="A992" s="30"/>
    </row>
    <row r="993" ht="12.75">
      <c r="A993" s="30"/>
    </row>
    <row r="994" ht="12.75">
      <c r="A994" s="30"/>
    </row>
    <row r="995" ht="12.75">
      <c r="A995" s="30"/>
    </row>
    <row r="996" ht="12.75">
      <c r="A996" s="30"/>
    </row>
    <row r="997" ht="12.75">
      <c r="A997" s="30"/>
    </row>
    <row r="998" ht="12.75">
      <c r="A998" s="30"/>
    </row>
    <row r="999" ht="12.75">
      <c r="A999" s="30"/>
    </row>
    <row r="1000" ht="12.75">
      <c r="A1000" s="30"/>
    </row>
    <row r="1001" ht="12.75">
      <c r="A1001" s="30"/>
    </row>
    <row r="1002" ht="12.75">
      <c r="A1002" s="30"/>
    </row>
    <row r="1003" ht="12.75">
      <c r="A1003" s="30"/>
    </row>
    <row r="1004" ht="12.75">
      <c r="A1004" s="30"/>
    </row>
    <row r="1005" ht="12.75">
      <c r="A1005" s="30"/>
    </row>
    <row r="1006" ht="12.75">
      <c r="A1006" s="30"/>
    </row>
    <row r="1007" ht="12.75">
      <c r="A1007" s="30"/>
    </row>
    <row r="1008" ht="12.75">
      <c r="A1008" s="30"/>
    </row>
    <row r="1009" ht="12.75">
      <c r="A1009" s="30"/>
    </row>
    <row r="1010" ht="12.75">
      <c r="A1010" s="30"/>
    </row>
    <row r="1011" ht="12.75">
      <c r="A1011" s="30"/>
    </row>
    <row r="1012" ht="12.75">
      <c r="A1012" s="30"/>
    </row>
    <row r="1013" ht="12.75">
      <c r="A1013" s="30"/>
    </row>
    <row r="1014" ht="12.75">
      <c r="A1014" s="30"/>
    </row>
    <row r="1015" ht="12.75">
      <c r="A1015" s="30"/>
    </row>
    <row r="1016" ht="12.75">
      <c r="A1016" s="30"/>
    </row>
    <row r="1017" ht="12.75">
      <c r="A1017" s="30"/>
    </row>
    <row r="1018" ht="12.75">
      <c r="A1018" s="30"/>
    </row>
    <row r="1019" ht="12.75">
      <c r="A1019" s="30"/>
    </row>
    <row r="1020" ht="12.75">
      <c r="A1020" s="30"/>
    </row>
    <row r="1021" ht="12.75">
      <c r="A1021" s="30"/>
    </row>
    <row r="1022" ht="12.75">
      <c r="A1022" s="30"/>
    </row>
    <row r="1023" ht="12.75">
      <c r="A1023" s="30"/>
    </row>
    <row r="1024" ht="12.75">
      <c r="A1024" s="30"/>
    </row>
    <row r="1025" ht="12.75">
      <c r="A1025" s="30"/>
    </row>
    <row r="1026" ht="12.75">
      <c r="A1026" s="30"/>
    </row>
    <row r="1027" ht="12.75">
      <c r="A1027" s="30"/>
    </row>
    <row r="1028" ht="12.75">
      <c r="A1028" s="30"/>
    </row>
    <row r="1029" ht="12.75">
      <c r="A1029" s="30"/>
    </row>
    <row r="1030" ht="12.75">
      <c r="A1030" s="30"/>
    </row>
    <row r="1031" ht="12.75">
      <c r="A1031" s="30"/>
    </row>
    <row r="1032" ht="12.75">
      <c r="A1032" s="30"/>
    </row>
    <row r="1033" ht="12.75">
      <c r="A1033" s="30"/>
    </row>
    <row r="1034" ht="12.75">
      <c r="A1034" s="30"/>
    </row>
    <row r="1035" ht="12.75">
      <c r="A1035" s="30"/>
    </row>
    <row r="1036" ht="12.75">
      <c r="A1036" s="30"/>
    </row>
    <row r="1037" ht="12.75">
      <c r="A1037" s="30"/>
    </row>
    <row r="1038" ht="12.75">
      <c r="A1038" s="30"/>
    </row>
    <row r="1039" ht="12.75">
      <c r="A1039" s="30"/>
    </row>
    <row r="1040" ht="12.75">
      <c r="A1040" s="30"/>
    </row>
    <row r="1041" ht="12.75">
      <c r="A1041" s="30"/>
    </row>
    <row r="1042" ht="12.75">
      <c r="A1042" s="30"/>
    </row>
    <row r="1043" ht="12.75">
      <c r="A1043" s="30"/>
    </row>
    <row r="1044" ht="12.75">
      <c r="A1044" s="30"/>
    </row>
    <row r="1045" ht="12.75">
      <c r="A1045" s="30"/>
    </row>
    <row r="1046" ht="12.75">
      <c r="A1046" s="30"/>
    </row>
    <row r="1047" ht="12.75">
      <c r="A1047" s="30"/>
    </row>
    <row r="1048" ht="12.75">
      <c r="A1048" s="30"/>
    </row>
    <row r="1049" ht="12.75">
      <c r="A1049" s="30"/>
    </row>
    <row r="1050" ht="12.75">
      <c r="A1050" s="30"/>
    </row>
    <row r="1051" ht="12.75">
      <c r="A1051" s="30"/>
    </row>
    <row r="1052" ht="12.75">
      <c r="A1052" s="30"/>
    </row>
    <row r="1053" ht="12.75">
      <c r="A1053" s="30"/>
    </row>
    <row r="1054" ht="12.75">
      <c r="A1054" s="30"/>
    </row>
    <row r="1055" ht="12.75">
      <c r="A1055" s="30"/>
    </row>
    <row r="1056" ht="12.75">
      <c r="A1056" s="30"/>
    </row>
    <row r="1057" ht="12.75">
      <c r="A1057" s="30"/>
    </row>
    <row r="1058" ht="12.75">
      <c r="A1058" s="30"/>
    </row>
    <row r="1059" ht="12.75">
      <c r="A1059" s="30"/>
    </row>
    <row r="1060" ht="12.75">
      <c r="A1060" s="30"/>
    </row>
    <row r="1061" ht="12.75">
      <c r="A1061" s="30"/>
    </row>
    <row r="1062" ht="12.75">
      <c r="A1062" s="30"/>
    </row>
    <row r="1063" ht="12.75">
      <c r="A1063" s="30"/>
    </row>
    <row r="1064" ht="12.75">
      <c r="A1064" s="30"/>
    </row>
    <row r="1065" ht="12.75">
      <c r="A1065" s="30"/>
    </row>
    <row r="1066" ht="12.75">
      <c r="A1066" s="30"/>
    </row>
    <row r="1067" ht="12.75">
      <c r="A1067" s="30"/>
    </row>
    <row r="1068" ht="12.75">
      <c r="A1068" s="30"/>
    </row>
    <row r="1069" ht="12.75">
      <c r="A1069" s="30"/>
    </row>
    <row r="1070" ht="12.75">
      <c r="A1070" s="30"/>
    </row>
    <row r="1071" ht="12.75">
      <c r="A1071" s="30"/>
    </row>
    <row r="1072" ht="12.75">
      <c r="A1072" s="30"/>
    </row>
    <row r="1073" ht="12.75">
      <c r="A1073" s="30"/>
    </row>
    <row r="1074" ht="12.75">
      <c r="A1074" s="30"/>
    </row>
  </sheetData>
  <mergeCells count="34">
    <mergeCell ref="A40:A47"/>
    <mergeCell ref="A15:A22"/>
    <mergeCell ref="E7:F7"/>
    <mergeCell ref="D7:D12"/>
    <mergeCell ref="C7:C12"/>
    <mergeCell ref="B7:B12"/>
    <mergeCell ref="A23:A30"/>
    <mergeCell ref="A32:A39"/>
    <mergeCell ref="B33:P33"/>
    <mergeCell ref="B34:P34"/>
    <mergeCell ref="H9:P9"/>
    <mergeCell ref="G8:P8"/>
    <mergeCell ref="G7:P7"/>
    <mergeCell ref="G9:G12"/>
    <mergeCell ref="N2:P2"/>
    <mergeCell ref="A7:A12"/>
    <mergeCell ref="E8:E12"/>
    <mergeCell ref="F8:F12"/>
    <mergeCell ref="M11:P11"/>
    <mergeCell ref="L11:L12"/>
    <mergeCell ref="L10:P10"/>
    <mergeCell ref="I11:K11"/>
    <mergeCell ref="H11:H12"/>
    <mergeCell ref="H10:K10"/>
    <mergeCell ref="B40:P40"/>
    <mergeCell ref="B41:P41"/>
    <mergeCell ref="B42:P42"/>
    <mergeCell ref="B15:P15"/>
    <mergeCell ref="B16:P16"/>
    <mergeCell ref="B17:P17"/>
    <mergeCell ref="B23:P23"/>
    <mergeCell ref="B24:P24"/>
    <mergeCell ref="B25:P25"/>
    <mergeCell ref="B32:P3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0"/>
  <sheetViews>
    <sheetView workbookViewId="0" topLeftCell="A1">
      <selection activeCell="B12" sqref="B1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customWidth="1"/>
    <col min="6" max="6" width="14.25390625" style="0" customWidth="1"/>
    <col min="7" max="8" width="27.375" style="0" customWidth="1"/>
  </cols>
  <sheetData>
    <row r="1" ht="12.75" customHeight="1"/>
    <row r="2" spans="3:8" ht="49.5" customHeight="1">
      <c r="C2" s="757" t="s">
        <v>146</v>
      </c>
      <c r="D2" s="757"/>
      <c r="E2" s="757"/>
      <c r="F2" s="148"/>
      <c r="G2" s="148"/>
      <c r="H2" s="148"/>
    </row>
    <row r="3" spans="1:11" ht="15.75">
      <c r="A3" s="759" t="s">
        <v>481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</row>
    <row r="4" spans="1:11" ht="15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3.5" thickBot="1"/>
    <row r="6" spans="1:11" ht="24.75" customHeight="1">
      <c r="A6" s="764" t="s">
        <v>482</v>
      </c>
      <c r="B6" s="762" t="s">
        <v>483</v>
      </c>
      <c r="C6" s="760" t="s">
        <v>484</v>
      </c>
      <c r="D6" s="766" t="s">
        <v>814</v>
      </c>
      <c r="E6" s="768" t="s">
        <v>651</v>
      </c>
      <c r="F6" s="770" t="s">
        <v>652</v>
      </c>
      <c r="G6" s="77"/>
      <c r="H6" s="77"/>
      <c r="I6" s="758"/>
      <c r="J6" s="758"/>
      <c r="K6" s="758"/>
    </row>
    <row r="7" spans="1:11" ht="18.75" customHeight="1" thickBot="1">
      <c r="A7" s="765"/>
      <c r="B7" s="763"/>
      <c r="C7" s="761"/>
      <c r="D7" s="767"/>
      <c r="E7" s="769"/>
      <c r="F7" s="771"/>
      <c r="G7" s="77"/>
      <c r="H7" s="77"/>
      <c r="I7" s="758"/>
      <c r="J7" s="758"/>
      <c r="K7" s="758"/>
    </row>
    <row r="8" spans="1:8" ht="13.5" customHeight="1" thickBot="1">
      <c r="A8" s="45">
        <v>1</v>
      </c>
      <c r="B8" s="46">
        <v>2</v>
      </c>
      <c r="C8" s="47">
        <v>3</v>
      </c>
      <c r="D8" s="103">
        <v>4</v>
      </c>
      <c r="E8" s="150">
        <v>4</v>
      </c>
      <c r="F8" s="383">
        <v>5</v>
      </c>
      <c r="G8" s="149"/>
      <c r="H8" s="149"/>
    </row>
    <row r="9" spans="1:8" ht="18" customHeight="1" thickBot="1">
      <c r="A9" s="455" t="s">
        <v>485</v>
      </c>
      <c r="B9" s="456" t="s">
        <v>486</v>
      </c>
      <c r="C9" s="456"/>
      <c r="D9" s="457">
        <v>25467450</v>
      </c>
      <c r="E9" s="458">
        <f>'Z 1'!F193</f>
        <v>35145375</v>
      </c>
      <c r="F9" s="459">
        <f>'Z 1'!G193</f>
        <v>34230109</v>
      </c>
      <c r="G9" s="30"/>
      <c r="H9" s="30"/>
    </row>
    <row r="10" spans="1:8" ht="18" customHeight="1" thickBot="1">
      <c r="A10" s="455" t="s">
        <v>487</v>
      </c>
      <c r="B10" s="456" t="s">
        <v>488</v>
      </c>
      <c r="C10" s="456"/>
      <c r="D10" s="457">
        <v>28296781</v>
      </c>
      <c r="E10" s="458">
        <f>'Z 2 '!K643</f>
        <v>34613874</v>
      </c>
      <c r="F10" s="546">
        <f>'Z 2 '!L643</f>
        <v>34215982</v>
      </c>
      <c r="G10" s="30"/>
      <c r="H10" s="30"/>
    </row>
    <row r="11" spans="1:8" ht="12.75">
      <c r="A11" s="56"/>
      <c r="B11" s="552" t="s">
        <v>489</v>
      </c>
      <c r="C11" s="57"/>
      <c r="D11" s="57">
        <f>D9-D10</f>
        <v>-2829331</v>
      </c>
      <c r="E11" s="57">
        <f>E9-E10</f>
        <v>531501</v>
      </c>
      <c r="F11" s="553">
        <f>F9-F10</f>
        <v>14127</v>
      </c>
      <c r="G11" s="30"/>
      <c r="H11" s="30"/>
    </row>
    <row r="12" spans="1:8" ht="15.75" customHeight="1" thickBot="1">
      <c r="A12" s="554"/>
      <c r="B12" s="555" t="s">
        <v>490</v>
      </c>
      <c r="C12" s="555"/>
      <c r="D12" s="59">
        <f>D13-D22</f>
        <v>2945559</v>
      </c>
      <c r="E12" s="59">
        <f>E13-E22</f>
        <v>-531501</v>
      </c>
      <c r="F12" s="556">
        <f>F13-F22</f>
        <v>-14127</v>
      </c>
      <c r="G12" s="30"/>
      <c r="H12" s="30"/>
    </row>
    <row r="13" spans="1:8" ht="15.75" customHeight="1" thickBot="1">
      <c r="A13" s="547" t="s">
        <v>491</v>
      </c>
      <c r="B13" s="548" t="s">
        <v>492</v>
      </c>
      <c r="C13" s="549"/>
      <c r="D13" s="550">
        <f>D17+D21+D14+D19</f>
        <v>3495559</v>
      </c>
      <c r="E13" s="550">
        <f>E14+E15+E16+E17+E18+E19+E20+E21</f>
        <v>2798190</v>
      </c>
      <c r="F13" s="551">
        <f>F14+F15+F16+F17+F18+F19+F20+F21</f>
        <v>1252967</v>
      </c>
      <c r="G13" s="74"/>
      <c r="H13" s="74"/>
    </row>
    <row r="14" spans="1:8" ht="12.75">
      <c r="A14" s="50" t="s">
        <v>493</v>
      </c>
      <c r="B14" s="37" t="s">
        <v>873</v>
      </c>
      <c r="C14" s="48" t="s">
        <v>613</v>
      </c>
      <c r="D14" s="51">
        <v>3067725</v>
      </c>
      <c r="E14" s="51">
        <v>2757526</v>
      </c>
      <c r="F14" s="169">
        <v>1252967</v>
      </c>
      <c r="G14" s="30"/>
      <c r="H14" s="30"/>
    </row>
    <row r="15" spans="1:8" ht="16.5" customHeight="1">
      <c r="A15" s="52" t="s">
        <v>494</v>
      </c>
      <c r="B15" s="6" t="s">
        <v>495</v>
      </c>
      <c r="C15" s="3" t="s">
        <v>613</v>
      </c>
      <c r="D15" s="104">
        <v>0</v>
      </c>
      <c r="E15" s="104">
        <v>0</v>
      </c>
      <c r="F15" s="171">
        <v>0</v>
      </c>
      <c r="G15" s="30"/>
      <c r="H15" s="30"/>
    </row>
    <row r="16" spans="1:8" ht="37.5" customHeight="1">
      <c r="A16" s="52" t="s">
        <v>496</v>
      </c>
      <c r="B16" s="7" t="s">
        <v>718</v>
      </c>
      <c r="C16" s="3" t="s">
        <v>707</v>
      </c>
      <c r="D16" s="104"/>
      <c r="E16" s="104">
        <v>0</v>
      </c>
      <c r="F16" s="171">
        <v>0</v>
      </c>
      <c r="G16" s="30"/>
      <c r="H16" s="30"/>
    </row>
    <row r="17" spans="1:8" ht="16.5" customHeight="1">
      <c r="A17" s="52" t="s">
        <v>498</v>
      </c>
      <c r="B17" s="6" t="s">
        <v>497</v>
      </c>
      <c r="C17" s="3" t="s">
        <v>614</v>
      </c>
      <c r="D17" s="104">
        <v>119000</v>
      </c>
      <c r="E17" s="104">
        <v>0</v>
      </c>
      <c r="F17" s="171">
        <v>0</v>
      </c>
      <c r="G17" s="30"/>
      <c r="H17" s="30"/>
    </row>
    <row r="18" spans="1:8" ht="18" customHeight="1">
      <c r="A18" s="52" t="s">
        <v>500</v>
      </c>
      <c r="B18" s="6" t="s">
        <v>499</v>
      </c>
      <c r="C18" s="3" t="s">
        <v>653</v>
      </c>
      <c r="D18" s="104">
        <v>0</v>
      </c>
      <c r="E18" s="104">
        <v>0</v>
      </c>
      <c r="F18" s="171">
        <v>0</v>
      </c>
      <c r="G18" s="30"/>
      <c r="H18" s="30"/>
    </row>
    <row r="19" spans="1:8" ht="18.75" customHeight="1">
      <c r="A19" s="52" t="s">
        <v>529</v>
      </c>
      <c r="B19" s="7" t="s">
        <v>515</v>
      </c>
      <c r="C19" s="3" t="s">
        <v>654</v>
      </c>
      <c r="D19" s="104">
        <v>182463</v>
      </c>
      <c r="E19" s="104">
        <v>0</v>
      </c>
      <c r="F19" s="171">
        <v>0</v>
      </c>
      <c r="G19" s="30"/>
      <c r="H19" s="30"/>
    </row>
    <row r="20" spans="1:8" ht="18.75" customHeight="1">
      <c r="A20" s="52" t="s">
        <v>530</v>
      </c>
      <c r="B20" s="7" t="s">
        <v>516</v>
      </c>
      <c r="C20" s="3" t="s">
        <v>655</v>
      </c>
      <c r="D20" s="104">
        <v>0</v>
      </c>
      <c r="E20" s="104">
        <v>0</v>
      </c>
      <c r="F20" s="171">
        <v>0</v>
      </c>
      <c r="G20" s="30"/>
      <c r="H20" s="30"/>
    </row>
    <row r="21" spans="1:8" ht="26.25" thickBot="1">
      <c r="A21" s="53" t="s">
        <v>517</v>
      </c>
      <c r="B21" s="54" t="s">
        <v>518</v>
      </c>
      <c r="C21" s="34" t="s">
        <v>614</v>
      </c>
      <c r="D21" s="55">
        <v>126371</v>
      </c>
      <c r="E21" s="55">
        <v>40664</v>
      </c>
      <c r="F21" s="170">
        <v>0</v>
      </c>
      <c r="G21" s="30"/>
      <c r="H21" s="30"/>
    </row>
    <row r="22" spans="1:8" ht="15.75" customHeight="1" thickBot="1">
      <c r="A22" s="460" t="s">
        <v>519</v>
      </c>
      <c r="B22" s="446" t="s">
        <v>520</v>
      </c>
      <c r="C22" s="463"/>
      <c r="D22" s="461">
        <f>D23+D27</f>
        <v>550000</v>
      </c>
      <c r="E22" s="462">
        <f>E23+E24+E25+E26+E27+E28+E29</f>
        <v>3329691</v>
      </c>
      <c r="F22" s="452">
        <f>F23+F24+F25+F26+F27+F28+F29</f>
        <v>1267094</v>
      </c>
      <c r="G22" s="74"/>
      <c r="H22" s="74"/>
    </row>
    <row r="23" spans="1:8" ht="15.75" customHeight="1">
      <c r="A23" s="56" t="s">
        <v>493</v>
      </c>
      <c r="B23" s="57" t="s">
        <v>521</v>
      </c>
      <c r="C23" s="58" t="s">
        <v>656</v>
      </c>
      <c r="D23" s="105">
        <v>550000</v>
      </c>
      <c r="E23" s="105">
        <v>1406568</v>
      </c>
      <c r="F23" s="172">
        <v>1231094</v>
      </c>
      <c r="G23" s="30"/>
      <c r="H23" s="30"/>
    </row>
    <row r="24" spans="1:8" ht="15.75" customHeight="1">
      <c r="A24" s="52" t="s">
        <v>494</v>
      </c>
      <c r="B24" s="6" t="s">
        <v>522</v>
      </c>
      <c r="C24" s="3" t="s">
        <v>657</v>
      </c>
      <c r="D24" s="104">
        <v>0</v>
      </c>
      <c r="E24" s="104">
        <v>0</v>
      </c>
      <c r="F24" s="171">
        <v>0</v>
      </c>
      <c r="G24" s="30"/>
      <c r="H24" s="30"/>
    </row>
    <row r="25" spans="1:8" ht="15.75" customHeight="1">
      <c r="A25" s="52" t="s">
        <v>496</v>
      </c>
      <c r="B25" s="6" t="s">
        <v>226</v>
      </c>
      <c r="C25" s="3" t="s">
        <v>656</v>
      </c>
      <c r="D25" s="104">
        <v>0</v>
      </c>
      <c r="E25" s="104">
        <v>36000</v>
      </c>
      <c r="F25" s="171">
        <v>36000</v>
      </c>
      <c r="G25" s="30"/>
      <c r="H25" s="30"/>
    </row>
    <row r="26" spans="1:8" ht="39" customHeight="1">
      <c r="A26" s="52" t="s">
        <v>498</v>
      </c>
      <c r="B26" s="7" t="s">
        <v>185</v>
      </c>
      <c r="C26" s="3" t="s">
        <v>719</v>
      </c>
      <c r="D26" s="104"/>
      <c r="E26" s="104">
        <v>1887123</v>
      </c>
      <c r="F26" s="171">
        <v>0</v>
      </c>
      <c r="G26" s="30"/>
      <c r="H26" s="30"/>
    </row>
    <row r="27" spans="1:14" ht="15.75" customHeight="1">
      <c r="A27" s="52" t="s">
        <v>500</v>
      </c>
      <c r="B27" s="6" t="s">
        <v>523</v>
      </c>
      <c r="C27" s="3" t="s">
        <v>658</v>
      </c>
      <c r="D27" s="104">
        <v>0</v>
      </c>
      <c r="E27" s="104">
        <v>0</v>
      </c>
      <c r="F27" s="171">
        <v>0</v>
      </c>
      <c r="G27" s="30"/>
      <c r="H27" s="30"/>
      <c r="N27" s="30"/>
    </row>
    <row r="28" spans="1:8" ht="15.75" customHeight="1">
      <c r="A28" s="52" t="s">
        <v>529</v>
      </c>
      <c r="B28" s="6" t="s">
        <v>524</v>
      </c>
      <c r="C28" s="3" t="s">
        <v>659</v>
      </c>
      <c r="D28" s="104">
        <v>0</v>
      </c>
      <c r="E28" s="104">
        <v>0</v>
      </c>
      <c r="F28" s="171">
        <v>0</v>
      </c>
      <c r="G28" s="30"/>
      <c r="H28" s="30"/>
    </row>
    <row r="29" spans="1:8" ht="15.75" customHeight="1" thickBot="1">
      <c r="A29" s="33" t="s">
        <v>530</v>
      </c>
      <c r="B29" s="59" t="s">
        <v>525</v>
      </c>
      <c r="C29" s="60" t="s">
        <v>130</v>
      </c>
      <c r="D29" s="106"/>
      <c r="E29" s="106">
        <v>0</v>
      </c>
      <c r="F29" s="173">
        <v>0</v>
      </c>
      <c r="G29" s="30"/>
      <c r="H29" s="30"/>
    </row>
    <row r="30" spans="1:8" ht="24.75" customHeight="1">
      <c r="A30" s="154" t="s">
        <v>526</v>
      </c>
      <c r="B30" s="152" t="s">
        <v>131</v>
      </c>
      <c r="C30" s="155"/>
      <c r="D30" s="156"/>
      <c r="E30" s="156">
        <f>E22</f>
        <v>3329691</v>
      </c>
      <c r="F30" s="174">
        <f>F22</f>
        <v>1267094</v>
      </c>
      <c r="G30" s="30"/>
      <c r="H30" s="30"/>
    </row>
    <row r="31" spans="1:8" ht="24" customHeight="1">
      <c r="A31" s="53" t="s">
        <v>911</v>
      </c>
      <c r="B31" s="54" t="s">
        <v>914</v>
      </c>
      <c r="C31" s="34"/>
      <c r="D31" s="55"/>
      <c r="E31" s="55">
        <f>E9-E30</f>
        <v>31815684</v>
      </c>
      <c r="F31" s="170">
        <f>F9-F30</f>
        <v>32963015</v>
      </c>
      <c r="G31" s="30"/>
      <c r="H31" s="30"/>
    </row>
    <row r="32" spans="1:8" ht="24.75" customHeight="1">
      <c r="A32" s="53" t="s">
        <v>915</v>
      </c>
      <c r="B32" s="54" t="s">
        <v>916</v>
      </c>
      <c r="C32" s="34"/>
      <c r="D32" s="55"/>
      <c r="E32" s="55">
        <f>E10-E31</f>
        <v>2798190</v>
      </c>
      <c r="F32" s="170">
        <f>F10-F31</f>
        <v>1252967</v>
      </c>
      <c r="G32" s="30"/>
      <c r="H32" s="30"/>
    </row>
    <row r="33" spans="1:8" ht="40.5" customHeight="1" thickBot="1">
      <c r="A33" s="33" t="s">
        <v>852</v>
      </c>
      <c r="B33" s="157" t="s">
        <v>0</v>
      </c>
      <c r="C33" s="60"/>
      <c r="D33" s="106">
        <v>0</v>
      </c>
      <c r="E33" s="106">
        <f>E13</f>
        <v>2798190</v>
      </c>
      <c r="F33" s="173">
        <f>F13</f>
        <v>1252967</v>
      </c>
      <c r="G33" s="30"/>
      <c r="H33" s="30"/>
    </row>
    <row r="37" ht="30.75" customHeight="1">
      <c r="C37" t="s">
        <v>237</v>
      </c>
    </row>
    <row r="40" ht="12.75">
      <c r="E40" t="s">
        <v>822</v>
      </c>
    </row>
  </sheetData>
  <mergeCells count="9">
    <mergeCell ref="C2:E2"/>
    <mergeCell ref="I6:K7"/>
    <mergeCell ref="A3:K3"/>
    <mergeCell ref="C6:C7"/>
    <mergeCell ref="B6:B7"/>
    <mergeCell ref="A6:A7"/>
    <mergeCell ref="D6:D7"/>
    <mergeCell ref="E6:E7"/>
    <mergeCell ref="F6:F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3"/>
  <sheetViews>
    <sheetView workbookViewId="0" topLeftCell="A1">
      <selection activeCell="A5" sqref="A5:L5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3.25390625" style="0" customWidth="1"/>
    <col min="5" max="5" width="17.37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40.5" customHeight="1">
      <c r="E1" s="781" t="s">
        <v>232</v>
      </c>
      <c r="F1" s="781"/>
      <c r="G1" s="781"/>
      <c r="H1" s="781"/>
      <c r="I1" s="781"/>
      <c r="J1" s="781"/>
      <c r="K1" s="781"/>
      <c r="L1" s="781"/>
    </row>
    <row r="2" ht="3" customHeight="1" hidden="1"/>
    <row r="3" ht="12.75" hidden="1"/>
    <row r="4" ht="12.75" hidden="1"/>
    <row r="5" spans="1:12" ht="31.5" customHeight="1">
      <c r="A5" s="782" t="s">
        <v>231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  <c r="L5" s="782"/>
    </row>
    <row r="7" ht="15.75" customHeight="1"/>
    <row r="8" s="30" customFormat="1" ht="13.5" thickBot="1"/>
    <row r="9" spans="1:12" ht="13.5" thickBot="1">
      <c r="A9" s="791" t="s">
        <v>411</v>
      </c>
      <c r="B9" s="792"/>
      <c r="C9" s="793"/>
      <c r="D9" s="788" t="s">
        <v>412</v>
      </c>
      <c r="E9" s="794" t="s">
        <v>233</v>
      </c>
      <c r="F9" s="772" t="s">
        <v>442</v>
      </c>
      <c r="G9" s="775" t="s">
        <v>367</v>
      </c>
      <c r="H9" s="776"/>
      <c r="I9" s="776"/>
      <c r="J9" s="776"/>
      <c r="K9" s="777"/>
      <c r="L9" s="785" t="s">
        <v>414</v>
      </c>
    </row>
    <row r="10" spans="1:12" ht="13.5" thickBot="1">
      <c r="A10" s="475"/>
      <c r="B10" s="476"/>
      <c r="C10" s="476"/>
      <c r="D10" s="789"/>
      <c r="E10" s="795"/>
      <c r="F10" s="773"/>
      <c r="G10" s="797" t="s">
        <v>747</v>
      </c>
      <c r="H10" s="799" t="s">
        <v>475</v>
      </c>
      <c r="I10" s="800"/>
      <c r="J10" s="801"/>
      <c r="K10" s="778" t="s">
        <v>848</v>
      </c>
      <c r="L10" s="786"/>
    </row>
    <row r="11" spans="1:12" ht="32.25" customHeight="1" thickBot="1">
      <c r="A11" s="578" t="s">
        <v>415</v>
      </c>
      <c r="B11" s="578" t="s">
        <v>416</v>
      </c>
      <c r="C11" s="579" t="s">
        <v>905</v>
      </c>
      <c r="D11" s="790"/>
      <c r="E11" s="796"/>
      <c r="F11" s="774"/>
      <c r="G11" s="798"/>
      <c r="H11" s="580" t="s">
        <v>153</v>
      </c>
      <c r="I11" s="581" t="s">
        <v>577</v>
      </c>
      <c r="J11" s="581" t="s">
        <v>578</v>
      </c>
      <c r="K11" s="779"/>
      <c r="L11" s="787"/>
    </row>
    <row r="12" spans="1:12" ht="11.25" customHeight="1">
      <c r="A12" s="96">
        <v>1</v>
      </c>
      <c r="B12" s="96">
        <v>2</v>
      </c>
      <c r="C12" s="96">
        <v>3</v>
      </c>
      <c r="D12" s="154">
        <v>4</v>
      </c>
      <c r="E12" s="155">
        <v>5</v>
      </c>
      <c r="F12" s="155">
        <v>6</v>
      </c>
      <c r="G12" s="155"/>
      <c r="H12" s="155"/>
      <c r="I12" s="155"/>
      <c r="J12" s="155"/>
      <c r="K12" s="155"/>
      <c r="L12" s="181">
        <v>7</v>
      </c>
    </row>
    <row r="13" spans="1:13" ht="17.25" customHeight="1">
      <c r="A13" s="557" t="s">
        <v>417</v>
      </c>
      <c r="B13" s="182"/>
      <c r="C13" s="182"/>
      <c r="D13" s="182" t="s">
        <v>418</v>
      </c>
      <c r="E13" s="175">
        <v>0</v>
      </c>
      <c r="F13" s="175">
        <v>0</v>
      </c>
      <c r="G13" s="175"/>
      <c r="H13" s="175"/>
      <c r="I13" s="175"/>
      <c r="J13" s="175"/>
      <c r="K13" s="175"/>
      <c r="L13" s="558">
        <f>L14+L15</f>
        <v>151595</v>
      </c>
      <c r="M13" t="s">
        <v>822</v>
      </c>
    </row>
    <row r="14" spans="1:12" ht="12.75">
      <c r="A14" s="559" t="s">
        <v>906</v>
      </c>
      <c r="B14" s="178" t="s">
        <v>704</v>
      </c>
      <c r="C14" s="178" t="s">
        <v>705</v>
      </c>
      <c r="D14" s="179" t="s">
        <v>706</v>
      </c>
      <c r="E14" s="162">
        <v>0</v>
      </c>
      <c r="F14" s="162">
        <v>0</v>
      </c>
      <c r="G14" s="162"/>
      <c r="H14" s="162"/>
      <c r="I14" s="162"/>
      <c r="J14" s="162"/>
      <c r="K14" s="162"/>
      <c r="L14" s="560">
        <v>595</v>
      </c>
    </row>
    <row r="15" spans="1:12" ht="25.5">
      <c r="A15" s="561">
        <v>700</v>
      </c>
      <c r="B15" s="179">
        <v>70005</v>
      </c>
      <c r="C15" s="179">
        <v>2350</v>
      </c>
      <c r="D15" s="180" t="s">
        <v>46</v>
      </c>
      <c r="E15" s="162">
        <v>0</v>
      </c>
      <c r="F15" s="162">
        <v>0</v>
      </c>
      <c r="G15" s="162"/>
      <c r="H15" s="162"/>
      <c r="I15" s="162"/>
      <c r="J15" s="162"/>
      <c r="K15" s="162"/>
      <c r="L15" s="560">
        <v>151000</v>
      </c>
    </row>
    <row r="16" spans="1:12" ht="12.75">
      <c r="A16" s="557" t="s">
        <v>419</v>
      </c>
      <c r="B16" s="780" t="s">
        <v>420</v>
      </c>
      <c r="C16" s="780"/>
      <c r="D16" s="780"/>
      <c r="E16" s="780"/>
      <c r="F16" s="780"/>
      <c r="G16" s="465"/>
      <c r="H16" s="465"/>
      <c r="I16" s="465"/>
      <c r="J16" s="465"/>
      <c r="K16" s="465"/>
      <c r="L16" s="562"/>
    </row>
    <row r="17" spans="1:12" ht="25.5">
      <c r="A17" s="563" t="s">
        <v>906</v>
      </c>
      <c r="B17" s="176" t="s">
        <v>24</v>
      </c>
      <c r="C17" s="176" t="s">
        <v>213</v>
      </c>
      <c r="D17" s="177" t="s">
        <v>422</v>
      </c>
      <c r="E17" s="164">
        <f>'Z 1'!G19</f>
        <v>56000</v>
      </c>
      <c r="F17" s="164">
        <f aca="true" t="shared" si="0" ref="F17:K17">F18</f>
        <v>56000</v>
      </c>
      <c r="G17" s="164">
        <f t="shared" si="0"/>
        <v>56000</v>
      </c>
      <c r="H17" s="164">
        <f t="shared" si="0"/>
        <v>0</v>
      </c>
      <c r="I17" s="164">
        <f t="shared" si="0"/>
        <v>0</v>
      </c>
      <c r="J17" s="164">
        <f t="shared" si="0"/>
        <v>0</v>
      </c>
      <c r="K17" s="164">
        <f t="shared" si="0"/>
        <v>0</v>
      </c>
      <c r="L17" s="560">
        <v>0</v>
      </c>
    </row>
    <row r="18" spans="1:12" ht="12.75">
      <c r="A18" s="564"/>
      <c r="B18" s="20"/>
      <c r="C18" s="20" t="s">
        <v>16</v>
      </c>
      <c r="D18" s="129" t="s">
        <v>99</v>
      </c>
      <c r="E18" s="6">
        <v>0</v>
      </c>
      <c r="F18" s="6">
        <f>'Z 2 '!L11</f>
        <v>56000</v>
      </c>
      <c r="G18" s="6">
        <f>F18</f>
        <v>56000</v>
      </c>
      <c r="H18" s="6"/>
      <c r="I18" s="6"/>
      <c r="J18" s="6"/>
      <c r="K18" s="6"/>
      <c r="L18" s="565">
        <v>0</v>
      </c>
    </row>
    <row r="19" spans="1:12" ht="12.75" hidden="1">
      <c r="A19" s="566" t="s">
        <v>906</v>
      </c>
      <c r="B19" s="11" t="s">
        <v>909</v>
      </c>
      <c r="C19" s="11" t="s">
        <v>421</v>
      </c>
      <c r="D19" s="5" t="s">
        <v>432</v>
      </c>
      <c r="E19" s="5" t="e">
        <f>'Z 1'!#REF!</f>
        <v>#REF!</v>
      </c>
      <c r="F19" s="5">
        <f>F20+F21+F22+F23+F25+F24+F26+F27+F28+F29+F30+F31</f>
        <v>0</v>
      </c>
      <c r="G19" s="5"/>
      <c r="H19" s="5"/>
      <c r="I19" s="5"/>
      <c r="J19" s="5"/>
      <c r="K19" s="5"/>
      <c r="L19" s="567">
        <v>0</v>
      </c>
    </row>
    <row r="20" spans="1:12" ht="25.5" hidden="1">
      <c r="A20" s="564"/>
      <c r="B20" s="20"/>
      <c r="C20" s="20" t="s">
        <v>2</v>
      </c>
      <c r="D20" s="7" t="s">
        <v>3</v>
      </c>
      <c r="E20" s="6">
        <v>0</v>
      </c>
      <c r="F20" s="6">
        <v>0</v>
      </c>
      <c r="G20" s="6"/>
      <c r="H20" s="6"/>
      <c r="I20" s="6"/>
      <c r="J20" s="6"/>
      <c r="K20" s="6"/>
      <c r="L20" s="565">
        <v>0</v>
      </c>
    </row>
    <row r="21" spans="1:12" ht="25.5" hidden="1">
      <c r="A21" s="564"/>
      <c r="B21" s="20"/>
      <c r="C21" s="20" t="s">
        <v>4</v>
      </c>
      <c r="D21" s="7" t="s">
        <v>5</v>
      </c>
      <c r="E21" s="6">
        <v>0</v>
      </c>
      <c r="F21" s="6">
        <v>0</v>
      </c>
      <c r="G21" s="6"/>
      <c r="H21" s="6"/>
      <c r="I21" s="6"/>
      <c r="J21" s="6"/>
      <c r="K21" s="6"/>
      <c r="L21" s="565">
        <v>0</v>
      </c>
    </row>
    <row r="22" spans="1:12" ht="12.75" hidden="1">
      <c r="A22" s="564"/>
      <c r="B22" s="20"/>
      <c r="C22" s="20" t="s">
        <v>6</v>
      </c>
      <c r="D22" s="6" t="s">
        <v>433</v>
      </c>
      <c r="E22" s="6">
        <v>0</v>
      </c>
      <c r="F22" s="6">
        <v>0</v>
      </c>
      <c r="G22" s="6"/>
      <c r="H22" s="6"/>
      <c r="I22" s="6"/>
      <c r="J22" s="6"/>
      <c r="K22" s="6"/>
      <c r="L22" s="565">
        <v>0</v>
      </c>
    </row>
    <row r="23" spans="1:12" ht="12.75" hidden="1">
      <c r="A23" s="564"/>
      <c r="B23" s="20"/>
      <c r="C23" s="42" t="s">
        <v>33</v>
      </c>
      <c r="D23" s="7" t="s">
        <v>434</v>
      </c>
      <c r="E23" s="6">
        <v>0</v>
      </c>
      <c r="F23" s="6">
        <v>0</v>
      </c>
      <c r="G23" s="6"/>
      <c r="H23" s="6"/>
      <c r="I23" s="6"/>
      <c r="J23" s="6"/>
      <c r="K23" s="6"/>
      <c r="L23" s="565">
        <v>0</v>
      </c>
    </row>
    <row r="24" spans="1:12" ht="12.75" hidden="1">
      <c r="A24" s="564"/>
      <c r="B24" s="20"/>
      <c r="C24" s="42" t="s">
        <v>8</v>
      </c>
      <c r="D24" s="7" t="s">
        <v>9</v>
      </c>
      <c r="E24" s="6">
        <v>0</v>
      </c>
      <c r="F24" s="6">
        <v>0</v>
      </c>
      <c r="G24" s="6"/>
      <c r="H24" s="6"/>
      <c r="I24" s="6"/>
      <c r="J24" s="6"/>
      <c r="K24" s="6"/>
      <c r="L24" s="565">
        <v>0</v>
      </c>
    </row>
    <row r="25" spans="1:12" ht="12.75" hidden="1">
      <c r="A25" s="564"/>
      <c r="B25" s="20"/>
      <c r="C25" s="25">
        <v>4210</v>
      </c>
      <c r="D25" s="20" t="s">
        <v>11</v>
      </c>
      <c r="E25" s="6">
        <v>0</v>
      </c>
      <c r="F25" s="6">
        <v>0</v>
      </c>
      <c r="G25" s="6"/>
      <c r="H25" s="6"/>
      <c r="I25" s="6"/>
      <c r="J25" s="6"/>
      <c r="K25" s="6"/>
      <c r="L25" s="565">
        <v>0</v>
      </c>
    </row>
    <row r="26" spans="1:12" ht="12.75" hidden="1">
      <c r="A26" s="564"/>
      <c r="B26" s="20"/>
      <c r="C26" s="25">
        <v>4260</v>
      </c>
      <c r="D26" s="20" t="s">
        <v>97</v>
      </c>
      <c r="E26" s="6">
        <v>0</v>
      </c>
      <c r="F26" s="6">
        <v>0</v>
      </c>
      <c r="G26" s="6"/>
      <c r="H26" s="6"/>
      <c r="I26" s="6"/>
      <c r="J26" s="6"/>
      <c r="K26" s="6"/>
      <c r="L26" s="565">
        <v>0</v>
      </c>
    </row>
    <row r="27" spans="1:12" ht="12.75" hidden="1">
      <c r="A27" s="564"/>
      <c r="B27" s="20"/>
      <c r="C27" s="25">
        <v>4270</v>
      </c>
      <c r="D27" s="20" t="s">
        <v>98</v>
      </c>
      <c r="E27" s="6">
        <v>0</v>
      </c>
      <c r="F27" s="6">
        <v>0</v>
      </c>
      <c r="G27" s="6"/>
      <c r="H27" s="6"/>
      <c r="I27" s="6"/>
      <c r="J27" s="6"/>
      <c r="K27" s="6"/>
      <c r="L27" s="565">
        <v>0</v>
      </c>
    </row>
    <row r="28" spans="1:12" ht="12.75" hidden="1">
      <c r="A28" s="564"/>
      <c r="B28" s="20"/>
      <c r="C28" s="25">
        <v>4300</v>
      </c>
      <c r="D28" s="20" t="s">
        <v>99</v>
      </c>
      <c r="E28" s="6">
        <v>0</v>
      </c>
      <c r="F28" s="6">
        <v>0</v>
      </c>
      <c r="G28" s="6"/>
      <c r="H28" s="6"/>
      <c r="I28" s="6"/>
      <c r="J28" s="6"/>
      <c r="K28" s="6"/>
      <c r="L28" s="565">
        <v>0</v>
      </c>
    </row>
    <row r="29" spans="1:12" ht="12.75" hidden="1">
      <c r="A29" s="564"/>
      <c r="B29" s="20"/>
      <c r="C29" s="25">
        <v>4410</v>
      </c>
      <c r="D29" s="20" t="s">
        <v>19</v>
      </c>
      <c r="E29" s="6">
        <v>0</v>
      </c>
      <c r="F29" s="6">
        <v>0</v>
      </c>
      <c r="G29" s="6"/>
      <c r="H29" s="6"/>
      <c r="I29" s="6"/>
      <c r="J29" s="6"/>
      <c r="K29" s="6"/>
      <c r="L29" s="565">
        <v>0</v>
      </c>
    </row>
    <row r="30" spans="1:12" ht="12.75" hidden="1">
      <c r="A30" s="564"/>
      <c r="B30" s="20"/>
      <c r="C30" s="25">
        <v>4430</v>
      </c>
      <c r="D30" s="20" t="s">
        <v>21</v>
      </c>
      <c r="E30" s="6">
        <v>0</v>
      </c>
      <c r="F30" s="6">
        <v>0</v>
      </c>
      <c r="G30" s="6"/>
      <c r="H30" s="6"/>
      <c r="I30" s="6"/>
      <c r="J30" s="6"/>
      <c r="K30" s="6"/>
      <c r="L30" s="565">
        <v>0</v>
      </c>
    </row>
    <row r="31" spans="1:12" ht="12.75" hidden="1">
      <c r="A31" s="564"/>
      <c r="B31" s="20"/>
      <c r="C31" s="25">
        <v>4440</v>
      </c>
      <c r="D31" s="20" t="s">
        <v>23</v>
      </c>
      <c r="E31" s="6">
        <v>0</v>
      </c>
      <c r="F31" s="6">
        <v>0</v>
      </c>
      <c r="G31" s="6"/>
      <c r="H31" s="6"/>
      <c r="I31" s="6"/>
      <c r="J31" s="6"/>
      <c r="K31" s="6"/>
      <c r="L31" s="565">
        <v>0</v>
      </c>
    </row>
    <row r="32" spans="1:12" ht="15.75" customHeight="1" hidden="1">
      <c r="A32" s="566" t="s">
        <v>25</v>
      </c>
      <c r="B32" s="11" t="s">
        <v>27</v>
      </c>
      <c r="C32" s="11" t="s">
        <v>421</v>
      </c>
      <c r="D32" s="5" t="s">
        <v>28</v>
      </c>
      <c r="E32" s="5">
        <v>0</v>
      </c>
      <c r="F32" s="5">
        <f>F33</f>
        <v>0</v>
      </c>
      <c r="G32" s="5"/>
      <c r="H32" s="5"/>
      <c r="I32" s="5"/>
      <c r="J32" s="5"/>
      <c r="K32" s="5"/>
      <c r="L32" s="567">
        <v>0</v>
      </c>
    </row>
    <row r="33" spans="1:12" ht="15" customHeight="1" hidden="1">
      <c r="A33" s="564"/>
      <c r="B33" s="20"/>
      <c r="C33" s="20"/>
      <c r="D33" s="6" t="s">
        <v>135</v>
      </c>
      <c r="E33" s="6"/>
      <c r="F33" s="6">
        <v>0</v>
      </c>
      <c r="G33" s="6"/>
      <c r="H33" s="6"/>
      <c r="I33" s="6"/>
      <c r="J33" s="6"/>
      <c r="K33" s="6"/>
      <c r="L33" s="565">
        <v>0</v>
      </c>
    </row>
    <row r="34" spans="1:12" ht="23.25" customHeight="1">
      <c r="A34" s="563" t="s">
        <v>43</v>
      </c>
      <c r="B34" s="176" t="s">
        <v>45</v>
      </c>
      <c r="C34" s="176" t="s">
        <v>213</v>
      </c>
      <c r="D34" s="177" t="s">
        <v>46</v>
      </c>
      <c r="E34" s="164">
        <f>'Z 1'!G47</f>
        <v>80000</v>
      </c>
      <c r="F34" s="164">
        <f aca="true" t="shared" si="1" ref="F34:K34">F35+F36+F37+F38+F40+F41+F39</f>
        <v>80000</v>
      </c>
      <c r="G34" s="164">
        <f t="shared" si="1"/>
        <v>80000</v>
      </c>
      <c r="H34" s="164">
        <f t="shared" si="1"/>
        <v>0</v>
      </c>
      <c r="I34" s="164">
        <f t="shared" si="1"/>
        <v>0</v>
      </c>
      <c r="J34" s="164">
        <f t="shared" si="1"/>
        <v>0</v>
      </c>
      <c r="K34" s="164">
        <f t="shared" si="1"/>
        <v>0</v>
      </c>
      <c r="L34" s="568">
        <v>0</v>
      </c>
    </row>
    <row r="35" spans="1:12" ht="12.75">
      <c r="A35" s="566"/>
      <c r="B35" s="11"/>
      <c r="C35" s="22" t="s">
        <v>12</v>
      </c>
      <c r="D35" s="129" t="s">
        <v>97</v>
      </c>
      <c r="E35" s="14">
        <v>0</v>
      </c>
      <c r="F35" s="14">
        <f>'Z 2 '!L51</f>
        <v>4000</v>
      </c>
      <c r="G35" s="14">
        <f>F35</f>
        <v>4000</v>
      </c>
      <c r="H35" s="14"/>
      <c r="I35" s="14"/>
      <c r="J35" s="14"/>
      <c r="K35" s="14"/>
      <c r="L35" s="569">
        <v>0</v>
      </c>
    </row>
    <row r="36" spans="1:12" ht="12.75">
      <c r="A36" s="570"/>
      <c r="B36" s="22"/>
      <c r="C36" s="22" t="s">
        <v>16</v>
      </c>
      <c r="D36" s="129" t="s">
        <v>99</v>
      </c>
      <c r="E36" s="14">
        <v>0</v>
      </c>
      <c r="F36" s="14">
        <v>67300</v>
      </c>
      <c r="G36" s="14">
        <f>F36</f>
        <v>67300</v>
      </c>
      <c r="H36" s="14"/>
      <c r="I36" s="14"/>
      <c r="J36" s="14"/>
      <c r="K36" s="14"/>
      <c r="L36" s="571">
        <v>0</v>
      </c>
    </row>
    <row r="37" spans="1:12" ht="12.75">
      <c r="A37" s="566"/>
      <c r="B37" s="11"/>
      <c r="C37" s="22" t="s">
        <v>38</v>
      </c>
      <c r="D37" s="129" t="s">
        <v>39</v>
      </c>
      <c r="E37" s="14">
        <v>0</v>
      </c>
      <c r="F37" s="14">
        <v>3500</v>
      </c>
      <c r="G37" s="14">
        <f>F37</f>
        <v>3500</v>
      </c>
      <c r="H37" s="14"/>
      <c r="I37" s="14"/>
      <c r="J37" s="14"/>
      <c r="K37" s="14"/>
      <c r="L37" s="572">
        <v>0</v>
      </c>
    </row>
    <row r="38" spans="1:12" ht="12.75">
      <c r="A38" s="566"/>
      <c r="B38" s="11"/>
      <c r="C38" s="22" t="s">
        <v>75</v>
      </c>
      <c r="D38" s="129" t="s">
        <v>87</v>
      </c>
      <c r="E38" s="14">
        <v>0</v>
      </c>
      <c r="F38" s="14">
        <v>5000</v>
      </c>
      <c r="G38" s="14">
        <f>F38</f>
        <v>5000</v>
      </c>
      <c r="H38" s="14"/>
      <c r="I38" s="14"/>
      <c r="J38" s="14"/>
      <c r="K38" s="14"/>
      <c r="L38" s="572">
        <v>0</v>
      </c>
    </row>
    <row r="39" spans="1:12" ht="12.75">
      <c r="A39" s="566"/>
      <c r="B39" s="11"/>
      <c r="C39" s="22" t="s">
        <v>102</v>
      </c>
      <c r="D39" s="129" t="s">
        <v>229</v>
      </c>
      <c r="E39" s="14">
        <v>0</v>
      </c>
      <c r="F39" s="14">
        <v>200</v>
      </c>
      <c r="G39" s="14">
        <f>F39</f>
        <v>200</v>
      </c>
      <c r="H39" s="14"/>
      <c r="I39" s="14"/>
      <c r="J39" s="14"/>
      <c r="K39" s="14"/>
      <c r="L39" s="572">
        <v>0</v>
      </c>
    </row>
    <row r="40" spans="1:12" ht="12.75" hidden="1">
      <c r="A40" s="566"/>
      <c r="B40" s="11"/>
      <c r="C40" s="22" t="s">
        <v>865</v>
      </c>
      <c r="D40" s="21" t="s">
        <v>603</v>
      </c>
      <c r="E40" s="14">
        <v>0</v>
      </c>
      <c r="F40" s="14">
        <v>0</v>
      </c>
      <c r="G40" s="14"/>
      <c r="H40" s="14"/>
      <c r="I40" s="14"/>
      <c r="J40" s="14"/>
      <c r="K40" s="14"/>
      <c r="L40" s="572">
        <v>0</v>
      </c>
    </row>
    <row r="41" spans="1:12" ht="12.75" hidden="1">
      <c r="A41" s="566"/>
      <c r="B41" s="11"/>
      <c r="C41" s="22" t="s">
        <v>347</v>
      </c>
      <c r="D41" s="21" t="s">
        <v>866</v>
      </c>
      <c r="E41" s="14">
        <v>0</v>
      </c>
      <c r="F41" s="14">
        <v>0</v>
      </c>
      <c r="G41" s="14"/>
      <c r="H41" s="14"/>
      <c r="I41" s="14"/>
      <c r="J41" s="14"/>
      <c r="K41" s="14"/>
      <c r="L41" s="572">
        <v>0</v>
      </c>
    </row>
    <row r="42" spans="1:12" ht="25.5">
      <c r="A42" s="563" t="s">
        <v>48</v>
      </c>
      <c r="B42" s="176" t="s">
        <v>50</v>
      </c>
      <c r="C42" s="176" t="s">
        <v>213</v>
      </c>
      <c r="D42" s="177" t="s">
        <v>51</v>
      </c>
      <c r="E42" s="164">
        <f>'Z 1'!G50</f>
        <v>40000</v>
      </c>
      <c r="F42" s="164">
        <f aca="true" t="shared" si="2" ref="F42:K42">F43</f>
        <v>40000</v>
      </c>
      <c r="G42" s="164">
        <f t="shared" si="2"/>
        <v>40000</v>
      </c>
      <c r="H42" s="164">
        <f t="shared" si="2"/>
        <v>0</v>
      </c>
      <c r="I42" s="164">
        <f t="shared" si="2"/>
        <v>0</v>
      </c>
      <c r="J42" s="164">
        <f t="shared" si="2"/>
        <v>0</v>
      </c>
      <c r="K42" s="164">
        <f t="shared" si="2"/>
        <v>0</v>
      </c>
      <c r="L42" s="560">
        <v>0</v>
      </c>
    </row>
    <row r="43" spans="1:12" ht="12.75">
      <c r="A43" s="566"/>
      <c r="B43" s="11"/>
      <c r="C43" s="22" t="s">
        <v>16</v>
      </c>
      <c r="D43" s="129" t="s">
        <v>99</v>
      </c>
      <c r="E43" s="14">
        <v>0</v>
      </c>
      <c r="F43" s="14">
        <f>'Z 2 '!L61</f>
        <v>40000</v>
      </c>
      <c r="G43" s="14">
        <f>F43</f>
        <v>40000</v>
      </c>
      <c r="H43" s="14"/>
      <c r="I43" s="14"/>
      <c r="J43" s="14"/>
      <c r="K43" s="14"/>
      <c r="L43" s="567">
        <v>0</v>
      </c>
    </row>
    <row r="44" spans="1:12" ht="25.5">
      <c r="A44" s="563" t="s">
        <v>48</v>
      </c>
      <c r="B44" s="176" t="s">
        <v>52</v>
      </c>
      <c r="C44" s="176" t="s">
        <v>213</v>
      </c>
      <c r="D44" s="177" t="s">
        <v>53</v>
      </c>
      <c r="E44" s="164">
        <f>'Z 1'!G52</f>
        <v>18000</v>
      </c>
      <c r="F44" s="164">
        <f aca="true" t="shared" si="3" ref="F44:K44">F45</f>
        <v>18000</v>
      </c>
      <c r="G44" s="164">
        <f t="shared" si="3"/>
        <v>18000</v>
      </c>
      <c r="H44" s="164">
        <f t="shared" si="3"/>
        <v>0</v>
      </c>
      <c r="I44" s="164">
        <f t="shared" si="3"/>
        <v>0</v>
      </c>
      <c r="J44" s="164">
        <f t="shared" si="3"/>
        <v>0</v>
      </c>
      <c r="K44" s="164">
        <f t="shared" si="3"/>
        <v>0</v>
      </c>
      <c r="L44" s="560">
        <v>0</v>
      </c>
    </row>
    <row r="45" spans="1:12" ht="12.75">
      <c r="A45" s="570"/>
      <c r="B45" s="22"/>
      <c r="C45" s="22" t="s">
        <v>16</v>
      </c>
      <c r="D45" s="129" t="s">
        <v>99</v>
      </c>
      <c r="E45" s="14">
        <v>0</v>
      </c>
      <c r="F45" s="14">
        <f>'Z 2 '!L63</f>
        <v>18000</v>
      </c>
      <c r="G45" s="14">
        <f>F45</f>
        <v>18000</v>
      </c>
      <c r="H45" s="14"/>
      <c r="I45" s="14"/>
      <c r="J45" s="14"/>
      <c r="K45" s="14"/>
      <c r="L45" s="572">
        <v>0</v>
      </c>
    </row>
    <row r="46" spans="1:12" ht="12.75">
      <c r="A46" s="563" t="s">
        <v>48</v>
      </c>
      <c r="B46" s="176" t="s">
        <v>54</v>
      </c>
      <c r="C46" s="176" t="s">
        <v>213</v>
      </c>
      <c r="D46" s="164" t="s">
        <v>55</v>
      </c>
      <c r="E46" s="164">
        <f>'Z 1'!G55</f>
        <v>180056</v>
      </c>
      <c r="F46" s="164">
        <f aca="true" t="shared" si="4" ref="F46:K46">SUM(F47:F64)</f>
        <v>180056</v>
      </c>
      <c r="G46" s="164">
        <f t="shared" si="4"/>
        <v>180056</v>
      </c>
      <c r="H46" s="164">
        <f t="shared" si="4"/>
        <v>133350</v>
      </c>
      <c r="I46" s="164">
        <f t="shared" si="4"/>
        <v>27350</v>
      </c>
      <c r="J46" s="164">
        <f t="shared" si="4"/>
        <v>0</v>
      </c>
      <c r="K46" s="164">
        <f t="shared" si="4"/>
        <v>0</v>
      </c>
      <c r="L46" s="560">
        <v>0</v>
      </c>
    </row>
    <row r="47" spans="1:12" ht="12.75">
      <c r="A47" s="564"/>
      <c r="B47" s="11"/>
      <c r="C47" s="22" t="s">
        <v>2</v>
      </c>
      <c r="D47" s="129" t="s">
        <v>3</v>
      </c>
      <c r="E47" s="14">
        <v>0</v>
      </c>
      <c r="F47" s="14">
        <f>'Z 2 '!L65</f>
        <v>53040</v>
      </c>
      <c r="G47" s="14">
        <f>F47</f>
        <v>53040</v>
      </c>
      <c r="H47" s="14">
        <f>G47</f>
        <v>53040</v>
      </c>
      <c r="I47" s="14"/>
      <c r="J47" s="14"/>
      <c r="K47" s="14"/>
      <c r="L47" s="572">
        <v>0</v>
      </c>
    </row>
    <row r="48" spans="1:12" ht="22.5">
      <c r="A48" s="564"/>
      <c r="B48" s="11"/>
      <c r="C48" s="22" t="s">
        <v>4</v>
      </c>
      <c r="D48" s="129" t="s">
        <v>5</v>
      </c>
      <c r="E48" s="14">
        <v>0</v>
      </c>
      <c r="F48" s="14">
        <f>'Z 2 '!L66</f>
        <v>69360</v>
      </c>
      <c r="G48" s="14">
        <f aca="true" t="shared" si="5" ref="G48:H64">F48</f>
        <v>69360</v>
      </c>
      <c r="H48" s="14">
        <f t="shared" si="5"/>
        <v>69360</v>
      </c>
      <c r="I48" s="14"/>
      <c r="J48" s="14"/>
      <c r="K48" s="14"/>
      <c r="L48" s="572">
        <v>0</v>
      </c>
    </row>
    <row r="49" spans="1:12" ht="12.75">
      <c r="A49" s="564"/>
      <c r="B49" s="11"/>
      <c r="C49" s="22" t="s">
        <v>6</v>
      </c>
      <c r="D49" s="130" t="s">
        <v>433</v>
      </c>
      <c r="E49" s="14">
        <v>0</v>
      </c>
      <c r="F49" s="14">
        <f>'Z 2 '!L67</f>
        <v>10950</v>
      </c>
      <c r="G49" s="14">
        <f t="shared" si="5"/>
        <v>10950</v>
      </c>
      <c r="H49" s="14">
        <f t="shared" si="5"/>
        <v>10950</v>
      </c>
      <c r="I49" s="14"/>
      <c r="J49" s="14"/>
      <c r="K49" s="14"/>
      <c r="L49" s="572">
        <v>0</v>
      </c>
    </row>
    <row r="50" spans="1:12" ht="12.75">
      <c r="A50" s="564"/>
      <c r="B50" s="11"/>
      <c r="C50" s="122" t="s">
        <v>33</v>
      </c>
      <c r="D50" s="129" t="s">
        <v>70</v>
      </c>
      <c r="E50" s="14">
        <v>0</v>
      </c>
      <c r="F50" s="14">
        <f>'Z 2 '!L68</f>
        <v>24083</v>
      </c>
      <c r="G50" s="14">
        <f t="shared" si="5"/>
        <v>24083</v>
      </c>
      <c r="H50" s="14"/>
      <c r="I50" s="14">
        <f>G50</f>
        <v>24083</v>
      </c>
      <c r="J50" s="14"/>
      <c r="K50" s="14"/>
      <c r="L50" s="572">
        <v>0</v>
      </c>
    </row>
    <row r="51" spans="1:12" ht="13.5" customHeight="1">
      <c r="A51" s="564"/>
      <c r="B51" s="11"/>
      <c r="C51" s="122" t="s">
        <v>8</v>
      </c>
      <c r="D51" s="129" t="s">
        <v>9</v>
      </c>
      <c r="E51" s="14">
        <v>0</v>
      </c>
      <c r="F51" s="14">
        <f>'Z 2 '!L69</f>
        <v>3267</v>
      </c>
      <c r="G51" s="14">
        <f t="shared" si="5"/>
        <v>3267</v>
      </c>
      <c r="H51" s="14"/>
      <c r="I51" s="14">
        <f>G51</f>
        <v>3267</v>
      </c>
      <c r="J51" s="14"/>
      <c r="K51" s="14"/>
      <c r="L51" s="572">
        <v>0</v>
      </c>
    </row>
    <row r="52" spans="1:12" ht="15" customHeight="1">
      <c r="A52" s="564"/>
      <c r="B52" s="11"/>
      <c r="C52" s="22" t="s">
        <v>10</v>
      </c>
      <c r="D52" s="130" t="s">
        <v>11</v>
      </c>
      <c r="E52" s="14">
        <v>0</v>
      </c>
      <c r="F52" s="14">
        <f>'Z 2 '!L70</f>
        <v>2288</v>
      </c>
      <c r="G52" s="14">
        <f t="shared" si="5"/>
        <v>2288</v>
      </c>
      <c r="H52" s="14"/>
      <c r="I52" s="14"/>
      <c r="J52" s="14"/>
      <c r="K52" s="14"/>
      <c r="L52" s="572">
        <v>0</v>
      </c>
    </row>
    <row r="53" spans="1:12" ht="15" customHeight="1">
      <c r="A53" s="564"/>
      <c r="B53" s="11"/>
      <c r="C53" s="22" t="s">
        <v>12</v>
      </c>
      <c r="D53" s="129" t="s">
        <v>97</v>
      </c>
      <c r="E53" s="14">
        <v>0</v>
      </c>
      <c r="F53" s="14">
        <f>'Z 2 '!L71</f>
        <v>2500</v>
      </c>
      <c r="G53" s="14">
        <f t="shared" si="5"/>
        <v>2500</v>
      </c>
      <c r="H53" s="14"/>
      <c r="I53" s="14"/>
      <c r="J53" s="14"/>
      <c r="K53" s="14"/>
      <c r="L53" s="572">
        <v>0</v>
      </c>
    </row>
    <row r="54" spans="1:12" ht="15" customHeight="1">
      <c r="A54" s="564"/>
      <c r="B54" s="11"/>
      <c r="C54" s="22" t="s">
        <v>76</v>
      </c>
      <c r="D54" s="129" t="s">
        <v>77</v>
      </c>
      <c r="E54" s="14">
        <v>0</v>
      </c>
      <c r="F54" s="14">
        <f>'Z 2 '!L72</f>
        <v>150</v>
      </c>
      <c r="G54" s="14">
        <f t="shared" si="5"/>
        <v>150</v>
      </c>
      <c r="H54" s="14"/>
      <c r="I54" s="14"/>
      <c r="J54" s="14"/>
      <c r="K54" s="14"/>
      <c r="L54" s="572">
        <v>0</v>
      </c>
    </row>
    <row r="55" spans="1:12" ht="15" customHeight="1">
      <c r="A55" s="564"/>
      <c r="B55" s="11"/>
      <c r="C55" s="22" t="s">
        <v>16</v>
      </c>
      <c r="D55" s="130" t="s">
        <v>99</v>
      </c>
      <c r="E55" s="14">
        <v>0</v>
      </c>
      <c r="F55" s="14">
        <f>'Z 2 '!L73</f>
        <v>3338</v>
      </c>
      <c r="G55" s="14">
        <f t="shared" si="5"/>
        <v>3338</v>
      </c>
      <c r="H55" s="14"/>
      <c r="I55" s="14"/>
      <c r="J55" s="14"/>
      <c r="K55" s="14"/>
      <c r="L55" s="572">
        <v>0</v>
      </c>
    </row>
    <row r="56" spans="1:12" ht="15" customHeight="1">
      <c r="A56" s="564"/>
      <c r="B56" s="11"/>
      <c r="C56" s="22" t="s">
        <v>737</v>
      </c>
      <c r="D56" s="129" t="s">
        <v>738</v>
      </c>
      <c r="E56" s="14">
        <v>0</v>
      </c>
      <c r="F56" s="14">
        <f>'Z 2 '!L74</f>
        <v>780</v>
      </c>
      <c r="G56" s="14">
        <f t="shared" si="5"/>
        <v>780</v>
      </c>
      <c r="H56" s="14"/>
      <c r="I56" s="14"/>
      <c r="J56" s="14"/>
      <c r="K56" s="14"/>
      <c r="L56" s="572">
        <v>0</v>
      </c>
    </row>
    <row r="57" spans="1:12" ht="15" customHeight="1">
      <c r="A57" s="564"/>
      <c r="B57" s="11"/>
      <c r="C57" s="22" t="s">
        <v>324</v>
      </c>
      <c r="D57" s="129" t="s">
        <v>326</v>
      </c>
      <c r="E57" s="14">
        <v>0</v>
      </c>
      <c r="F57" s="14">
        <f>'Z 2 '!L75</f>
        <v>660</v>
      </c>
      <c r="G57" s="14">
        <f t="shared" si="5"/>
        <v>660</v>
      </c>
      <c r="H57" s="14"/>
      <c r="I57" s="14"/>
      <c r="J57" s="14"/>
      <c r="K57" s="14"/>
      <c r="L57" s="572">
        <v>0</v>
      </c>
    </row>
    <row r="58" spans="1:12" ht="15" customHeight="1">
      <c r="A58" s="564"/>
      <c r="B58" s="11"/>
      <c r="C58" s="22" t="s">
        <v>316</v>
      </c>
      <c r="D58" s="129" t="s">
        <v>320</v>
      </c>
      <c r="E58" s="14">
        <v>0</v>
      </c>
      <c r="F58" s="14">
        <f>'Z 2 '!L76</f>
        <v>2000</v>
      </c>
      <c r="G58" s="14">
        <f t="shared" si="5"/>
        <v>2000</v>
      </c>
      <c r="H58" s="14"/>
      <c r="I58" s="14"/>
      <c r="J58" s="14"/>
      <c r="K58" s="14"/>
      <c r="L58" s="572">
        <v>0</v>
      </c>
    </row>
    <row r="59" spans="1:12" ht="15" customHeight="1">
      <c r="A59" s="564"/>
      <c r="B59" s="11"/>
      <c r="C59" s="22" t="s">
        <v>333</v>
      </c>
      <c r="D59" s="129" t="s">
        <v>334</v>
      </c>
      <c r="E59" s="14">
        <v>0</v>
      </c>
      <c r="F59" s="14">
        <f>'Z 2 '!L77</f>
        <v>1440</v>
      </c>
      <c r="G59" s="14">
        <f t="shared" si="5"/>
        <v>1440</v>
      </c>
      <c r="H59" s="14"/>
      <c r="I59" s="14"/>
      <c r="J59" s="14"/>
      <c r="K59" s="14"/>
      <c r="L59" s="572">
        <v>0</v>
      </c>
    </row>
    <row r="60" spans="1:12" ht="15" customHeight="1">
      <c r="A60" s="564"/>
      <c r="B60" s="11"/>
      <c r="C60" s="22" t="s">
        <v>18</v>
      </c>
      <c r="D60" s="130" t="s">
        <v>19</v>
      </c>
      <c r="E60" s="14">
        <v>0</v>
      </c>
      <c r="F60" s="14">
        <f>'Z 2 '!L78</f>
        <v>500</v>
      </c>
      <c r="G60" s="14">
        <f t="shared" si="5"/>
        <v>500</v>
      </c>
      <c r="H60" s="14"/>
      <c r="I60" s="14"/>
      <c r="J60" s="14"/>
      <c r="K60" s="14"/>
      <c r="L60" s="572">
        <v>0</v>
      </c>
    </row>
    <row r="61" spans="1:12" ht="15" customHeight="1">
      <c r="A61" s="564"/>
      <c r="B61" s="11"/>
      <c r="C61" s="22" t="s">
        <v>20</v>
      </c>
      <c r="D61" s="130" t="s">
        <v>214</v>
      </c>
      <c r="E61" s="14">
        <v>0</v>
      </c>
      <c r="F61" s="14">
        <f>'Z 2 '!L79</f>
        <v>2000</v>
      </c>
      <c r="G61" s="14">
        <f t="shared" si="5"/>
        <v>2000</v>
      </c>
      <c r="H61" s="14"/>
      <c r="I61" s="14"/>
      <c r="J61" s="14"/>
      <c r="K61" s="14"/>
      <c r="L61" s="572">
        <v>0</v>
      </c>
    </row>
    <row r="62" spans="1:12" ht="15" customHeight="1">
      <c r="A62" s="564"/>
      <c r="B62" s="11"/>
      <c r="C62" s="22" t="s">
        <v>22</v>
      </c>
      <c r="D62" s="130" t="s">
        <v>23</v>
      </c>
      <c r="E62" s="14">
        <v>0</v>
      </c>
      <c r="F62" s="14">
        <f>'Z 2 '!L80</f>
        <v>3150</v>
      </c>
      <c r="G62" s="14">
        <f t="shared" si="5"/>
        <v>3150</v>
      </c>
      <c r="H62" s="14"/>
      <c r="I62" s="14"/>
      <c r="J62" s="14"/>
      <c r="K62" s="14"/>
      <c r="L62" s="572">
        <v>0</v>
      </c>
    </row>
    <row r="63" spans="1:12" ht="15" customHeight="1">
      <c r="A63" s="564"/>
      <c r="B63" s="11"/>
      <c r="C63" s="22" t="s">
        <v>318</v>
      </c>
      <c r="D63" s="129" t="s">
        <v>322</v>
      </c>
      <c r="E63" s="14">
        <v>0</v>
      </c>
      <c r="F63" s="14">
        <f>'Z 2 '!L81</f>
        <v>250</v>
      </c>
      <c r="G63" s="14">
        <f t="shared" si="5"/>
        <v>250</v>
      </c>
      <c r="H63" s="14"/>
      <c r="I63" s="14"/>
      <c r="J63" s="14"/>
      <c r="K63" s="14"/>
      <c r="L63" s="572">
        <v>0</v>
      </c>
    </row>
    <row r="64" spans="1:12" ht="15" customHeight="1">
      <c r="A64" s="564"/>
      <c r="B64" s="11"/>
      <c r="C64" s="22" t="s">
        <v>319</v>
      </c>
      <c r="D64" s="129" t="s">
        <v>323</v>
      </c>
      <c r="E64" s="14">
        <v>0</v>
      </c>
      <c r="F64" s="14">
        <f>'Z 2 '!L82</f>
        <v>300</v>
      </c>
      <c r="G64" s="14">
        <f t="shared" si="5"/>
        <v>300</v>
      </c>
      <c r="H64" s="14"/>
      <c r="I64" s="14"/>
      <c r="J64" s="14"/>
      <c r="K64" s="14"/>
      <c r="L64" s="572">
        <v>0</v>
      </c>
    </row>
    <row r="65" spans="1:12" ht="12.75">
      <c r="A65" s="563" t="s">
        <v>57</v>
      </c>
      <c r="B65" s="176" t="s">
        <v>59</v>
      </c>
      <c r="C65" s="176" t="s">
        <v>213</v>
      </c>
      <c r="D65" s="164" t="s">
        <v>60</v>
      </c>
      <c r="E65" s="164">
        <f>'Z 1'!G58</f>
        <v>102748</v>
      </c>
      <c r="F65" s="164">
        <f aca="true" t="shared" si="6" ref="F65:K65">F66+F67+F68+F69+F70+F71+F72+F73+F74</f>
        <v>102748</v>
      </c>
      <c r="G65" s="164">
        <f t="shared" si="6"/>
        <v>102748</v>
      </c>
      <c r="H65" s="164">
        <f t="shared" si="6"/>
        <v>82312</v>
      </c>
      <c r="I65" s="164">
        <f t="shared" si="6"/>
        <v>14782</v>
      </c>
      <c r="J65" s="164">
        <f t="shared" si="6"/>
        <v>0</v>
      </c>
      <c r="K65" s="164">
        <f t="shared" si="6"/>
        <v>0</v>
      </c>
      <c r="L65" s="560">
        <v>0</v>
      </c>
    </row>
    <row r="66" spans="1:12" ht="12.75">
      <c r="A66" s="564"/>
      <c r="B66" s="11"/>
      <c r="C66" s="22" t="s">
        <v>2</v>
      </c>
      <c r="D66" s="129" t="s">
        <v>3</v>
      </c>
      <c r="E66" s="14">
        <v>0</v>
      </c>
      <c r="F66" s="14">
        <f>'Z 2 '!L85</f>
        <v>70400</v>
      </c>
      <c r="G66" s="14">
        <f>F66</f>
        <v>70400</v>
      </c>
      <c r="H66" s="14">
        <f>G66</f>
        <v>70400</v>
      </c>
      <c r="I66" s="14"/>
      <c r="J66" s="14"/>
      <c r="K66" s="14"/>
      <c r="L66" s="572">
        <v>0</v>
      </c>
    </row>
    <row r="67" spans="1:12" ht="12.75">
      <c r="A67" s="564"/>
      <c r="B67" s="11"/>
      <c r="C67" s="22" t="s">
        <v>6</v>
      </c>
      <c r="D67" s="130" t="s">
        <v>433</v>
      </c>
      <c r="E67" s="14">
        <v>0</v>
      </c>
      <c r="F67" s="14">
        <f>'Z 2 '!L86</f>
        <v>4712</v>
      </c>
      <c r="G67" s="14">
        <f aca="true" t="shared" si="7" ref="G67:G74">F67</f>
        <v>4712</v>
      </c>
      <c r="H67" s="14">
        <f>G67</f>
        <v>4712</v>
      </c>
      <c r="I67" s="14"/>
      <c r="J67" s="14"/>
      <c r="K67" s="14"/>
      <c r="L67" s="572">
        <v>0</v>
      </c>
    </row>
    <row r="68" spans="1:12" ht="12.75">
      <c r="A68" s="564"/>
      <c r="B68" s="11"/>
      <c r="C68" s="122" t="s">
        <v>33</v>
      </c>
      <c r="D68" s="129" t="s">
        <v>70</v>
      </c>
      <c r="E68" s="14">
        <v>0</v>
      </c>
      <c r="F68" s="14">
        <f>'Z 2 '!L87</f>
        <v>12942</v>
      </c>
      <c r="G68" s="14">
        <f t="shared" si="7"/>
        <v>12942</v>
      </c>
      <c r="H68" s="14"/>
      <c r="I68" s="14">
        <f>G68</f>
        <v>12942</v>
      </c>
      <c r="J68" s="14"/>
      <c r="K68" s="14"/>
      <c r="L68" s="572">
        <v>0</v>
      </c>
    </row>
    <row r="69" spans="1:12" ht="12.75">
      <c r="A69" s="564"/>
      <c r="B69" s="11"/>
      <c r="C69" s="122" t="s">
        <v>8</v>
      </c>
      <c r="D69" s="129" t="s">
        <v>9</v>
      </c>
      <c r="E69" s="14">
        <v>0</v>
      </c>
      <c r="F69" s="14">
        <f>'Z 2 '!L88</f>
        <v>1840</v>
      </c>
      <c r="G69" s="14">
        <f t="shared" si="7"/>
        <v>1840</v>
      </c>
      <c r="H69" s="14"/>
      <c r="I69" s="14">
        <f>G69</f>
        <v>1840</v>
      </c>
      <c r="J69" s="14"/>
      <c r="K69" s="14"/>
      <c r="L69" s="572">
        <v>0</v>
      </c>
    </row>
    <row r="70" spans="1:12" ht="12.75">
      <c r="A70" s="564"/>
      <c r="B70" s="11"/>
      <c r="C70" s="122" t="s">
        <v>735</v>
      </c>
      <c r="D70" s="129" t="s">
        <v>736</v>
      </c>
      <c r="E70" s="14">
        <v>0</v>
      </c>
      <c r="F70" s="14">
        <f>'Z 2 '!L89</f>
        <v>7200</v>
      </c>
      <c r="G70" s="14">
        <f t="shared" si="7"/>
        <v>7200</v>
      </c>
      <c r="H70" s="14">
        <f>G70</f>
        <v>7200</v>
      </c>
      <c r="I70" s="14"/>
      <c r="J70" s="14"/>
      <c r="K70" s="14"/>
      <c r="L70" s="572">
        <v>0</v>
      </c>
    </row>
    <row r="71" spans="1:12" ht="12.75">
      <c r="A71" s="564"/>
      <c r="B71" s="11"/>
      <c r="C71" s="22" t="s">
        <v>10</v>
      </c>
      <c r="D71" s="130" t="s">
        <v>11</v>
      </c>
      <c r="E71" s="14">
        <v>0</v>
      </c>
      <c r="F71" s="14">
        <f>'Z 2 '!L90</f>
        <v>1279</v>
      </c>
      <c r="G71" s="14">
        <f t="shared" si="7"/>
        <v>1279</v>
      </c>
      <c r="H71" s="14"/>
      <c r="I71" s="14"/>
      <c r="J71" s="14"/>
      <c r="K71" s="14"/>
      <c r="L71" s="572">
        <v>0</v>
      </c>
    </row>
    <row r="72" spans="1:12" ht="12.75">
      <c r="A72" s="564"/>
      <c r="B72" s="11"/>
      <c r="C72" s="22" t="s">
        <v>16</v>
      </c>
      <c r="D72" s="130" t="s">
        <v>99</v>
      </c>
      <c r="E72" s="14">
        <v>0</v>
      </c>
      <c r="F72" s="14">
        <f>'Z 2 '!L91</f>
        <v>1061</v>
      </c>
      <c r="G72" s="14">
        <f t="shared" si="7"/>
        <v>1061</v>
      </c>
      <c r="H72" s="14"/>
      <c r="I72" s="14"/>
      <c r="J72" s="14"/>
      <c r="K72" s="14"/>
      <c r="L72" s="572">
        <v>0</v>
      </c>
    </row>
    <row r="73" spans="1:12" ht="12.75">
      <c r="A73" s="564"/>
      <c r="B73" s="11"/>
      <c r="C73" s="22" t="s">
        <v>18</v>
      </c>
      <c r="D73" s="130" t="s">
        <v>19</v>
      </c>
      <c r="E73" s="14">
        <v>0</v>
      </c>
      <c r="F73" s="14">
        <f>'Z 2 '!L92</f>
        <v>680</v>
      </c>
      <c r="G73" s="14">
        <f t="shared" si="7"/>
        <v>680</v>
      </c>
      <c r="H73" s="14"/>
      <c r="I73" s="14"/>
      <c r="J73" s="14"/>
      <c r="K73" s="14"/>
      <c r="L73" s="572">
        <v>0</v>
      </c>
    </row>
    <row r="74" spans="1:12" ht="12.75">
      <c r="A74" s="564"/>
      <c r="B74" s="11"/>
      <c r="C74" s="22" t="s">
        <v>22</v>
      </c>
      <c r="D74" s="130" t="s">
        <v>23</v>
      </c>
      <c r="E74" s="14">
        <v>0</v>
      </c>
      <c r="F74" s="14">
        <f>'Z 2 '!L93</f>
        <v>2634</v>
      </c>
      <c r="G74" s="14">
        <f t="shared" si="7"/>
        <v>2634</v>
      </c>
      <c r="H74" s="14"/>
      <c r="I74" s="14"/>
      <c r="J74" s="14"/>
      <c r="K74" s="14"/>
      <c r="L74" s="572">
        <v>0</v>
      </c>
    </row>
    <row r="75" spans="1:12" ht="15.75" customHeight="1">
      <c r="A75" s="563" t="s">
        <v>57</v>
      </c>
      <c r="B75" s="176" t="s">
        <v>68</v>
      </c>
      <c r="C75" s="176" t="s">
        <v>213</v>
      </c>
      <c r="D75" s="164" t="s">
        <v>69</v>
      </c>
      <c r="E75" s="164">
        <f>'Z 1'!G66</f>
        <v>14000</v>
      </c>
      <c r="F75" s="164">
        <f aca="true" t="shared" si="8" ref="F75:K75">SUM(F76:F83)</f>
        <v>14000</v>
      </c>
      <c r="G75" s="164">
        <f t="shared" si="8"/>
        <v>14000</v>
      </c>
      <c r="H75" s="164">
        <f t="shared" si="8"/>
        <v>5800</v>
      </c>
      <c r="I75" s="164">
        <f t="shared" si="8"/>
        <v>958</v>
      </c>
      <c r="J75" s="164">
        <f t="shared" si="8"/>
        <v>0</v>
      </c>
      <c r="K75" s="164">
        <f t="shared" si="8"/>
        <v>0</v>
      </c>
      <c r="L75" s="560">
        <v>0</v>
      </c>
    </row>
    <row r="76" spans="1:12" ht="15.75" customHeight="1">
      <c r="A76" s="566"/>
      <c r="B76" s="11"/>
      <c r="C76" s="22" t="s">
        <v>1</v>
      </c>
      <c r="D76" s="130" t="s">
        <v>445</v>
      </c>
      <c r="E76" s="14">
        <v>0</v>
      </c>
      <c r="F76" s="14">
        <f>'Z 2 '!L133</f>
        <v>5400</v>
      </c>
      <c r="G76" s="14">
        <f>F76</f>
        <v>5400</v>
      </c>
      <c r="H76" s="14"/>
      <c r="I76" s="14"/>
      <c r="J76" s="14"/>
      <c r="K76" s="14"/>
      <c r="L76" s="572">
        <v>0</v>
      </c>
    </row>
    <row r="77" spans="1:12" ht="15.75" customHeight="1">
      <c r="A77" s="566"/>
      <c r="B77" s="11"/>
      <c r="C77" s="22" t="s">
        <v>33</v>
      </c>
      <c r="D77" s="130" t="s">
        <v>70</v>
      </c>
      <c r="E77" s="14">
        <v>0</v>
      </c>
      <c r="F77" s="14">
        <f>'Z 2 '!L134</f>
        <v>838</v>
      </c>
      <c r="G77" s="14">
        <f aca="true" t="shared" si="9" ref="G77:G83">F77</f>
        <v>838</v>
      </c>
      <c r="H77" s="14"/>
      <c r="I77" s="14">
        <f>G77</f>
        <v>838</v>
      </c>
      <c r="J77" s="14"/>
      <c r="K77" s="14"/>
      <c r="L77" s="572">
        <v>0</v>
      </c>
    </row>
    <row r="78" spans="1:12" ht="15.75" customHeight="1">
      <c r="A78" s="566"/>
      <c r="B78" s="11"/>
      <c r="C78" s="22" t="s">
        <v>8</v>
      </c>
      <c r="D78" s="130" t="s">
        <v>9</v>
      </c>
      <c r="E78" s="14">
        <v>0</v>
      </c>
      <c r="F78" s="14">
        <f>'Z 2 '!L135</f>
        <v>120</v>
      </c>
      <c r="G78" s="14">
        <f t="shared" si="9"/>
        <v>120</v>
      </c>
      <c r="H78" s="14"/>
      <c r="I78" s="14">
        <f>G78</f>
        <v>120</v>
      </c>
      <c r="J78" s="14"/>
      <c r="K78" s="14"/>
      <c r="L78" s="572">
        <v>0</v>
      </c>
    </row>
    <row r="79" spans="1:12" ht="15.75" customHeight="1">
      <c r="A79" s="566"/>
      <c r="B79" s="11"/>
      <c r="C79" s="22" t="s">
        <v>735</v>
      </c>
      <c r="D79" s="130" t="s">
        <v>736</v>
      </c>
      <c r="E79" s="14">
        <v>0</v>
      </c>
      <c r="F79" s="14">
        <f>'Z 2 '!L136</f>
        <v>5800</v>
      </c>
      <c r="G79" s="14">
        <f t="shared" si="9"/>
        <v>5800</v>
      </c>
      <c r="H79" s="14">
        <f>G79</f>
        <v>5800</v>
      </c>
      <c r="I79" s="14"/>
      <c r="J79" s="14"/>
      <c r="K79" s="14"/>
      <c r="L79" s="572">
        <v>0</v>
      </c>
    </row>
    <row r="80" spans="1:12" ht="15.75" customHeight="1">
      <c r="A80" s="566"/>
      <c r="B80" s="11"/>
      <c r="C80" s="22" t="s">
        <v>10</v>
      </c>
      <c r="D80" s="130" t="s">
        <v>11</v>
      </c>
      <c r="E80" s="14">
        <v>0</v>
      </c>
      <c r="F80" s="14">
        <f>'Z 2 '!L137</f>
        <v>710</v>
      </c>
      <c r="G80" s="14">
        <f t="shared" si="9"/>
        <v>710</v>
      </c>
      <c r="H80" s="14"/>
      <c r="I80" s="14"/>
      <c r="J80" s="14"/>
      <c r="K80" s="14"/>
      <c r="L80" s="572">
        <v>0</v>
      </c>
    </row>
    <row r="81" spans="1:12" ht="15.75" customHeight="1">
      <c r="A81" s="566"/>
      <c r="B81" s="11"/>
      <c r="C81" s="22" t="s">
        <v>16</v>
      </c>
      <c r="D81" s="130" t="s">
        <v>99</v>
      </c>
      <c r="E81" s="14">
        <v>0</v>
      </c>
      <c r="F81" s="14">
        <f>'Z 2 '!L138</f>
        <v>932</v>
      </c>
      <c r="G81" s="14">
        <f t="shared" si="9"/>
        <v>932</v>
      </c>
      <c r="H81" s="14"/>
      <c r="I81" s="14"/>
      <c r="J81" s="14"/>
      <c r="K81" s="14"/>
      <c r="L81" s="572">
        <v>0</v>
      </c>
    </row>
    <row r="82" spans="1:12" ht="15.75" customHeight="1">
      <c r="A82" s="566"/>
      <c r="B82" s="11"/>
      <c r="C82" s="22" t="s">
        <v>316</v>
      </c>
      <c r="D82" s="129" t="s">
        <v>320</v>
      </c>
      <c r="E82" s="14">
        <v>0</v>
      </c>
      <c r="F82" s="14">
        <f>'Z 2 '!L139</f>
        <v>100</v>
      </c>
      <c r="G82" s="14">
        <f t="shared" si="9"/>
        <v>100</v>
      </c>
      <c r="H82" s="14"/>
      <c r="I82" s="14"/>
      <c r="J82" s="14"/>
      <c r="K82" s="14"/>
      <c r="L82" s="572"/>
    </row>
    <row r="83" spans="1:12" ht="16.5" customHeight="1">
      <c r="A83" s="564"/>
      <c r="B83" s="20"/>
      <c r="C83" s="20" t="s">
        <v>318</v>
      </c>
      <c r="D83" s="129" t="s">
        <v>322</v>
      </c>
      <c r="E83" s="6">
        <v>0</v>
      </c>
      <c r="F83" s="14">
        <v>100</v>
      </c>
      <c r="G83" s="14">
        <f t="shared" si="9"/>
        <v>100</v>
      </c>
      <c r="H83" s="14"/>
      <c r="I83" s="14"/>
      <c r="J83" s="14"/>
      <c r="K83" s="14"/>
      <c r="L83" s="565"/>
    </row>
    <row r="84" spans="1:12" ht="24.75" customHeight="1">
      <c r="A84" s="563" t="s">
        <v>73</v>
      </c>
      <c r="B84" s="176" t="s">
        <v>100</v>
      </c>
      <c r="C84" s="176" t="s">
        <v>213</v>
      </c>
      <c r="D84" s="177" t="s">
        <v>449</v>
      </c>
      <c r="E84" s="164">
        <f>'Z 1'!G74</f>
        <v>2215000</v>
      </c>
      <c r="F84" s="164">
        <f aca="true" t="shared" si="10" ref="F84:K84">SUM(F85:F105)</f>
        <v>2215000</v>
      </c>
      <c r="G84" s="164">
        <f t="shared" si="10"/>
        <v>2215000</v>
      </c>
      <c r="H84" s="164">
        <f t="shared" si="10"/>
        <v>1845000</v>
      </c>
      <c r="I84" s="164">
        <f t="shared" si="10"/>
        <v>4000</v>
      </c>
      <c r="J84" s="164">
        <f t="shared" si="10"/>
        <v>0</v>
      </c>
      <c r="K84" s="164">
        <f t="shared" si="10"/>
        <v>0</v>
      </c>
      <c r="L84" s="560">
        <v>0</v>
      </c>
    </row>
    <row r="85" spans="1:12" ht="17.25" customHeight="1">
      <c r="A85" s="573"/>
      <c r="B85" s="337"/>
      <c r="C85" s="324" t="s">
        <v>535</v>
      </c>
      <c r="D85" s="129" t="s">
        <v>829</v>
      </c>
      <c r="E85" s="325">
        <v>0</v>
      </c>
      <c r="F85" s="325">
        <f>'Z 2 '!L163</f>
        <v>155000</v>
      </c>
      <c r="G85" s="325">
        <f>F85</f>
        <v>155000</v>
      </c>
      <c r="H85" s="325">
        <f>G85</f>
        <v>155000</v>
      </c>
      <c r="I85" s="325"/>
      <c r="J85" s="325"/>
      <c r="K85" s="325"/>
      <c r="L85" s="574"/>
    </row>
    <row r="86" spans="1:12" ht="16.5" customHeight="1">
      <c r="A86" s="566"/>
      <c r="B86" s="22"/>
      <c r="C86" s="22" t="s">
        <v>4</v>
      </c>
      <c r="D86" s="129" t="s">
        <v>450</v>
      </c>
      <c r="E86" s="14">
        <v>0</v>
      </c>
      <c r="F86" s="325">
        <f>'Z 2 '!L164</f>
        <v>19000</v>
      </c>
      <c r="G86" s="325">
        <f aca="true" t="shared" si="11" ref="G86:H105">F86</f>
        <v>19000</v>
      </c>
      <c r="H86" s="325">
        <f t="shared" si="11"/>
        <v>19000</v>
      </c>
      <c r="I86" s="325"/>
      <c r="J86" s="325"/>
      <c r="K86" s="325"/>
      <c r="L86" s="572">
        <v>0</v>
      </c>
    </row>
    <row r="87" spans="1:12" ht="14.25" customHeight="1">
      <c r="A87" s="566"/>
      <c r="B87" s="22"/>
      <c r="C87" s="22" t="s">
        <v>6</v>
      </c>
      <c r="D87" s="129" t="s">
        <v>446</v>
      </c>
      <c r="E87" s="14">
        <v>0</v>
      </c>
      <c r="F87" s="325">
        <f>'Z 2 '!L165</f>
        <v>2000</v>
      </c>
      <c r="G87" s="325">
        <f t="shared" si="11"/>
        <v>2000</v>
      </c>
      <c r="H87" s="325">
        <f t="shared" si="11"/>
        <v>2000</v>
      </c>
      <c r="I87" s="325"/>
      <c r="J87" s="325"/>
      <c r="K87" s="325"/>
      <c r="L87" s="572">
        <v>0</v>
      </c>
    </row>
    <row r="88" spans="1:12" ht="21" customHeight="1">
      <c r="A88" s="566"/>
      <c r="B88" s="22"/>
      <c r="C88" s="22" t="s">
        <v>88</v>
      </c>
      <c r="D88" s="129" t="s">
        <v>230</v>
      </c>
      <c r="E88" s="14">
        <v>0</v>
      </c>
      <c r="F88" s="325">
        <f>'Z 2 '!L166</f>
        <v>1415000</v>
      </c>
      <c r="G88" s="325">
        <f t="shared" si="11"/>
        <v>1415000</v>
      </c>
      <c r="H88" s="325">
        <f t="shared" si="11"/>
        <v>1415000</v>
      </c>
      <c r="I88" s="325"/>
      <c r="J88" s="325"/>
      <c r="K88" s="325"/>
      <c r="L88" s="572">
        <v>0</v>
      </c>
    </row>
    <row r="89" spans="1:12" ht="17.25" customHeight="1">
      <c r="A89" s="566"/>
      <c r="B89" s="22"/>
      <c r="C89" s="22" t="s">
        <v>90</v>
      </c>
      <c r="D89" s="130" t="s">
        <v>447</v>
      </c>
      <c r="E89" s="14">
        <v>0</v>
      </c>
      <c r="F89" s="325">
        <f>'Z 2 '!L167</f>
        <v>137000</v>
      </c>
      <c r="G89" s="325">
        <f t="shared" si="11"/>
        <v>137000</v>
      </c>
      <c r="H89" s="325">
        <f t="shared" si="11"/>
        <v>137000</v>
      </c>
      <c r="I89" s="325"/>
      <c r="J89" s="325"/>
      <c r="K89" s="325"/>
      <c r="L89" s="572">
        <v>0</v>
      </c>
    </row>
    <row r="90" spans="1:12" ht="14.25" customHeight="1">
      <c r="A90" s="566"/>
      <c r="B90" s="22"/>
      <c r="C90" s="20" t="s">
        <v>92</v>
      </c>
      <c r="D90" s="130" t="s">
        <v>93</v>
      </c>
      <c r="E90" s="14">
        <v>0</v>
      </c>
      <c r="F90" s="325">
        <f>'Z 2 '!L168</f>
        <v>117000</v>
      </c>
      <c r="G90" s="325">
        <f t="shared" si="11"/>
        <v>117000</v>
      </c>
      <c r="H90" s="325">
        <f t="shared" si="11"/>
        <v>117000</v>
      </c>
      <c r="I90" s="325"/>
      <c r="J90" s="325"/>
      <c r="K90" s="325"/>
      <c r="L90" s="572">
        <v>0</v>
      </c>
    </row>
    <row r="91" spans="1:12" ht="15.75" customHeight="1">
      <c r="A91" s="566"/>
      <c r="B91" s="22"/>
      <c r="C91" s="42" t="s">
        <v>33</v>
      </c>
      <c r="D91" s="129" t="s">
        <v>448</v>
      </c>
      <c r="E91" s="14">
        <v>0</v>
      </c>
      <c r="F91" s="325">
        <f>'Z 2 '!L169</f>
        <v>3500</v>
      </c>
      <c r="G91" s="325">
        <f t="shared" si="11"/>
        <v>3500</v>
      </c>
      <c r="H91" s="325"/>
      <c r="I91" s="325">
        <f>G91</f>
        <v>3500</v>
      </c>
      <c r="J91" s="325"/>
      <c r="K91" s="325"/>
      <c r="L91" s="572">
        <v>0</v>
      </c>
    </row>
    <row r="92" spans="1:12" ht="16.5" customHeight="1">
      <c r="A92" s="566"/>
      <c r="B92" s="22"/>
      <c r="C92" s="42" t="s">
        <v>8</v>
      </c>
      <c r="D92" s="129" t="s">
        <v>9</v>
      </c>
      <c r="E92" s="14">
        <v>0</v>
      </c>
      <c r="F92" s="325">
        <f>'Z 2 '!L170</f>
        <v>500</v>
      </c>
      <c r="G92" s="325">
        <f t="shared" si="11"/>
        <v>500</v>
      </c>
      <c r="H92" s="325"/>
      <c r="I92" s="325">
        <f>G92</f>
        <v>500</v>
      </c>
      <c r="J92" s="325"/>
      <c r="K92" s="325"/>
      <c r="L92" s="572">
        <v>0</v>
      </c>
    </row>
    <row r="93" spans="1:12" ht="13.5" customHeight="1">
      <c r="A93" s="566"/>
      <c r="B93" s="22"/>
      <c r="C93" s="22" t="s">
        <v>537</v>
      </c>
      <c r="D93" s="129" t="s">
        <v>538</v>
      </c>
      <c r="E93" s="14">
        <v>0</v>
      </c>
      <c r="F93" s="325">
        <f>'Z 2 '!L171</f>
        <v>92000</v>
      </c>
      <c r="G93" s="325">
        <f t="shared" si="11"/>
        <v>92000</v>
      </c>
      <c r="H93" s="325"/>
      <c r="I93" s="325"/>
      <c r="J93" s="325"/>
      <c r="K93" s="325"/>
      <c r="L93" s="572">
        <v>0</v>
      </c>
    </row>
    <row r="94" spans="1:12" ht="15" customHeight="1">
      <c r="A94" s="566"/>
      <c r="B94" s="11"/>
      <c r="C94" s="22" t="s">
        <v>10</v>
      </c>
      <c r="D94" s="130" t="s">
        <v>11</v>
      </c>
      <c r="E94" s="14">
        <v>0</v>
      </c>
      <c r="F94" s="325">
        <f>'Z 2 '!L172</f>
        <v>137840</v>
      </c>
      <c r="G94" s="325">
        <f t="shared" si="11"/>
        <v>137840</v>
      </c>
      <c r="H94" s="325"/>
      <c r="I94" s="325"/>
      <c r="J94" s="325"/>
      <c r="K94" s="325"/>
      <c r="L94" s="575">
        <v>0</v>
      </c>
    </row>
    <row r="95" spans="1:12" ht="15.75" customHeight="1">
      <c r="A95" s="566"/>
      <c r="B95" s="11"/>
      <c r="C95" s="22" t="s">
        <v>95</v>
      </c>
      <c r="D95" s="130" t="s">
        <v>96</v>
      </c>
      <c r="E95" s="14">
        <v>0</v>
      </c>
      <c r="F95" s="325">
        <f>'Z 2 '!L173</f>
        <v>20000</v>
      </c>
      <c r="G95" s="325">
        <f t="shared" si="11"/>
        <v>20000</v>
      </c>
      <c r="H95" s="325"/>
      <c r="I95" s="325"/>
      <c r="J95" s="325"/>
      <c r="K95" s="325"/>
      <c r="L95" s="575">
        <v>0</v>
      </c>
    </row>
    <row r="96" spans="1:12" ht="15" customHeight="1">
      <c r="A96" s="566"/>
      <c r="B96" s="11"/>
      <c r="C96" s="22" t="s">
        <v>12</v>
      </c>
      <c r="D96" s="130" t="s">
        <v>97</v>
      </c>
      <c r="E96" s="14">
        <v>0</v>
      </c>
      <c r="F96" s="325">
        <f>'Z 2 '!L174</f>
        <v>18000</v>
      </c>
      <c r="G96" s="325">
        <f t="shared" si="11"/>
        <v>18000</v>
      </c>
      <c r="H96" s="325"/>
      <c r="I96" s="325"/>
      <c r="J96" s="325"/>
      <c r="K96" s="325"/>
      <c r="L96" s="575">
        <v>0</v>
      </c>
    </row>
    <row r="97" spans="1:12" ht="16.5" customHeight="1">
      <c r="A97" s="566"/>
      <c r="B97" s="11"/>
      <c r="C97" s="22" t="s">
        <v>14</v>
      </c>
      <c r="D97" s="130" t="s">
        <v>98</v>
      </c>
      <c r="E97" s="14">
        <v>0</v>
      </c>
      <c r="F97" s="325">
        <f>'Z 2 '!L175</f>
        <v>12000</v>
      </c>
      <c r="G97" s="325">
        <f t="shared" si="11"/>
        <v>12000</v>
      </c>
      <c r="H97" s="325"/>
      <c r="I97" s="325"/>
      <c r="J97" s="325"/>
      <c r="K97" s="325"/>
      <c r="L97" s="575">
        <v>0</v>
      </c>
    </row>
    <row r="98" spans="1:12" ht="15.75" customHeight="1">
      <c r="A98" s="566"/>
      <c r="B98" s="11"/>
      <c r="C98" s="22" t="s">
        <v>76</v>
      </c>
      <c r="D98" s="130" t="s">
        <v>77</v>
      </c>
      <c r="E98" s="14">
        <v>0</v>
      </c>
      <c r="F98" s="325">
        <f>'Z 2 '!L176</f>
        <v>14000</v>
      </c>
      <c r="G98" s="325">
        <f t="shared" si="11"/>
        <v>14000</v>
      </c>
      <c r="H98" s="325"/>
      <c r="I98" s="325"/>
      <c r="J98" s="325"/>
      <c r="K98" s="325"/>
      <c r="L98" s="575"/>
    </row>
    <row r="99" spans="1:12" ht="15" customHeight="1">
      <c r="A99" s="566"/>
      <c r="B99" s="11"/>
      <c r="C99" s="22" t="s">
        <v>16</v>
      </c>
      <c r="D99" s="130" t="s">
        <v>99</v>
      </c>
      <c r="E99" s="14">
        <v>0</v>
      </c>
      <c r="F99" s="325">
        <f>'Z 2 '!L177</f>
        <v>47550</v>
      </c>
      <c r="G99" s="325">
        <f t="shared" si="11"/>
        <v>47550</v>
      </c>
      <c r="H99" s="325"/>
      <c r="I99" s="325"/>
      <c r="J99" s="325"/>
      <c r="K99" s="325"/>
      <c r="L99" s="575">
        <v>0</v>
      </c>
    </row>
    <row r="100" spans="1:12" ht="14.25" customHeight="1">
      <c r="A100" s="566"/>
      <c r="B100" s="11"/>
      <c r="C100" s="22" t="s">
        <v>737</v>
      </c>
      <c r="D100" s="129" t="s">
        <v>738</v>
      </c>
      <c r="E100" s="14"/>
      <c r="F100" s="325">
        <f>'Z 2 '!L178</f>
        <v>1450</v>
      </c>
      <c r="G100" s="325">
        <f t="shared" si="11"/>
        <v>1450</v>
      </c>
      <c r="H100" s="325"/>
      <c r="I100" s="325"/>
      <c r="J100" s="325"/>
      <c r="K100" s="325"/>
      <c r="L100" s="575"/>
    </row>
    <row r="101" spans="1:12" ht="14.25" customHeight="1">
      <c r="A101" s="566"/>
      <c r="B101" s="11"/>
      <c r="C101" s="22" t="s">
        <v>18</v>
      </c>
      <c r="D101" s="130" t="s">
        <v>19</v>
      </c>
      <c r="E101" s="14">
        <v>0</v>
      </c>
      <c r="F101" s="325">
        <f>'Z 2 '!L179</f>
        <v>7000</v>
      </c>
      <c r="G101" s="325">
        <f t="shared" si="11"/>
        <v>7000</v>
      </c>
      <c r="H101" s="325"/>
      <c r="I101" s="325"/>
      <c r="J101" s="325"/>
      <c r="K101" s="325"/>
      <c r="L101" s="575">
        <v>0</v>
      </c>
    </row>
    <row r="102" spans="1:12" ht="13.5" customHeight="1">
      <c r="A102" s="566"/>
      <c r="B102" s="11"/>
      <c r="C102" s="22" t="s">
        <v>20</v>
      </c>
      <c r="D102" s="130" t="s">
        <v>21</v>
      </c>
      <c r="E102" s="14">
        <v>0</v>
      </c>
      <c r="F102" s="325">
        <f>'Z 2 '!L180</f>
        <v>4000</v>
      </c>
      <c r="G102" s="325">
        <f t="shared" si="11"/>
        <v>4000</v>
      </c>
      <c r="H102" s="325"/>
      <c r="I102" s="325"/>
      <c r="J102" s="325"/>
      <c r="K102" s="325"/>
      <c r="L102" s="575">
        <v>0</v>
      </c>
    </row>
    <row r="103" spans="1:12" ht="12" customHeight="1">
      <c r="A103" s="566"/>
      <c r="B103" s="11"/>
      <c r="C103" s="22" t="s">
        <v>22</v>
      </c>
      <c r="D103" s="130" t="s">
        <v>23</v>
      </c>
      <c r="E103" s="14">
        <v>0</v>
      </c>
      <c r="F103" s="325">
        <f>'Z 2 '!L181</f>
        <v>1000</v>
      </c>
      <c r="G103" s="325">
        <f t="shared" si="11"/>
        <v>1000</v>
      </c>
      <c r="H103" s="325"/>
      <c r="I103" s="325"/>
      <c r="J103" s="325"/>
      <c r="K103" s="325"/>
      <c r="L103" s="575">
        <v>0</v>
      </c>
    </row>
    <row r="104" spans="1:12" ht="14.25" customHeight="1">
      <c r="A104" s="566"/>
      <c r="B104" s="11"/>
      <c r="C104" s="22" t="s">
        <v>75</v>
      </c>
      <c r="D104" s="130" t="s">
        <v>87</v>
      </c>
      <c r="E104" s="14">
        <v>0</v>
      </c>
      <c r="F104" s="325">
        <f>'Z 2 '!L182</f>
        <v>11000</v>
      </c>
      <c r="G104" s="325">
        <f t="shared" si="11"/>
        <v>11000</v>
      </c>
      <c r="H104" s="325"/>
      <c r="I104" s="325"/>
      <c r="J104" s="325"/>
      <c r="K104" s="325"/>
      <c r="L104" s="575">
        <v>0</v>
      </c>
    </row>
    <row r="105" spans="1:12" ht="14.25" customHeight="1">
      <c r="A105" s="566"/>
      <c r="B105" s="11"/>
      <c r="C105" s="22" t="s">
        <v>102</v>
      </c>
      <c r="D105" s="130" t="s">
        <v>451</v>
      </c>
      <c r="E105" s="14">
        <v>0</v>
      </c>
      <c r="F105" s="325">
        <f>'Z 2 '!L183</f>
        <v>160</v>
      </c>
      <c r="G105" s="325">
        <f t="shared" si="11"/>
        <v>160</v>
      </c>
      <c r="H105" s="325"/>
      <c r="I105" s="325"/>
      <c r="J105" s="325"/>
      <c r="K105" s="325"/>
      <c r="L105" s="575">
        <v>0</v>
      </c>
    </row>
    <row r="106" spans="1:12" ht="21.75" customHeight="1" hidden="1">
      <c r="A106" s="566"/>
      <c r="B106" s="11"/>
      <c r="C106" s="22" t="s">
        <v>40</v>
      </c>
      <c r="D106" s="14" t="s">
        <v>452</v>
      </c>
      <c r="E106" s="14">
        <v>0</v>
      </c>
      <c r="F106" s="325" t="e">
        <f>#REF!</f>
        <v>#REF!</v>
      </c>
      <c r="G106" s="325"/>
      <c r="H106" s="325"/>
      <c r="I106" s="325"/>
      <c r="J106" s="325"/>
      <c r="K106" s="325"/>
      <c r="L106" s="575">
        <v>0</v>
      </c>
    </row>
    <row r="107" spans="1:12" ht="25.5" customHeight="1">
      <c r="A107" s="563" t="s">
        <v>261</v>
      </c>
      <c r="B107" s="176" t="s">
        <v>274</v>
      </c>
      <c r="C107" s="176" t="s">
        <v>213</v>
      </c>
      <c r="D107" s="177" t="s">
        <v>453</v>
      </c>
      <c r="E107" s="164">
        <f>'Z 1'!G123</f>
        <v>754000</v>
      </c>
      <c r="F107" s="164">
        <f aca="true" t="shared" si="12" ref="F107:K107">F108</f>
        <v>754000</v>
      </c>
      <c r="G107" s="164">
        <f t="shared" si="12"/>
        <v>754000</v>
      </c>
      <c r="H107" s="164">
        <f t="shared" si="12"/>
        <v>0</v>
      </c>
      <c r="I107" s="164">
        <f t="shared" si="12"/>
        <v>0</v>
      </c>
      <c r="J107" s="164">
        <f t="shared" si="12"/>
        <v>754000</v>
      </c>
      <c r="K107" s="164">
        <f t="shared" si="12"/>
        <v>0</v>
      </c>
      <c r="L107" s="576">
        <v>0</v>
      </c>
    </row>
    <row r="108" spans="1:12" ht="20.25" customHeight="1">
      <c r="A108" s="566"/>
      <c r="B108" s="11"/>
      <c r="C108" s="22" t="s">
        <v>276</v>
      </c>
      <c r="D108" s="129" t="s">
        <v>454</v>
      </c>
      <c r="E108" s="14">
        <v>0</v>
      </c>
      <c r="F108" s="14">
        <f>'Z 2 '!L401</f>
        <v>754000</v>
      </c>
      <c r="G108" s="14">
        <f>F108</f>
        <v>754000</v>
      </c>
      <c r="H108" s="14"/>
      <c r="I108" s="14"/>
      <c r="J108" s="14">
        <f>G108</f>
        <v>754000</v>
      </c>
      <c r="K108" s="14"/>
      <c r="L108" s="575">
        <v>0</v>
      </c>
    </row>
    <row r="109" spans="1:12" ht="25.5" hidden="1">
      <c r="A109" s="566" t="s">
        <v>279</v>
      </c>
      <c r="B109" s="11" t="s">
        <v>289</v>
      </c>
      <c r="C109" s="11" t="s">
        <v>421</v>
      </c>
      <c r="D109" s="4" t="s">
        <v>290</v>
      </c>
      <c r="E109" s="5" t="e">
        <f>'Z 1'!#REF!</f>
        <v>#REF!</v>
      </c>
      <c r="F109" s="5">
        <f>F110+F112+F111+F113+F114+F115+F116+F117+F118</f>
        <v>0</v>
      </c>
      <c r="G109" s="5"/>
      <c r="H109" s="5"/>
      <c r="I109" s="5"/>
      <c r="J109" s="5"/>
      <c r="K109" s="5"/>
      <c r="L109" s="567">
        <v>0</v>
      </c>
    </row>
    <row r="110" spans="1:12" ht="25.5" hidden="1">
      <c r="A110" s="564"/>
      <c r="B110" s="11"/>
      <c r="C110" s="22" t="s">
        <v>2</v>
      </c>
      <c r="D110" s="21" t="s">
        <v>3</v>
      </c>
      <c r="E110" s="14">
        <v>0</v>
      </c>
      <c r="F110" s="14">
        <v>0</v>
      </c>
      <c r="G110" s="14"/>
      <c r="H110" s="14"/>
      <c r="I110" s="14"/>
      <c r="J110" s="14"/>
      <c r="K110" s="14"/>
      <c r="L110" s="572">
        <v>0</v>
      </c>
    </row>
    <row r="111" spans="1:12" ht="12.75" hidden="1">
      <c r="A111" s="564"/>
      <c r="B111" s="11"/>
      <c r="C111" s="22" t="s">
        <v>6</v>
      </c>
      <c r="D111" s="21" t="s">
        <v>433</v>
      </c>
      <c r="E111" s="14">
        <v>0</v>
      </c>
      <c r="F111" s="14">
        <v>0</v>
      </c>
      <c r="G111" s="14"/>
      <c r="H111" s="14"/>
      <c r="I111" s="14"/>
      <c r="J111" s="14"/>
      <c r="K111" s="14"/>
      <c r="L111" s="572">
        <v>0</v>
      </c>
    </row>
    <row r="112" spans="1:12" ht="12.75" hidden="1">
      <c r="A112" s="564"/>
      <c r="B112" s="11"/>
      <c r="C112" s="122" t="s">
        <v>33</v>
      </c>
      <c r="D112" s="21" t="s">
        <v>70</v>
      </c>
      <c r="E112" s="14">
        <v>0</v>
      </c>
      <c r="F112" s="14">
        <v>0</v>
      </c>
      <c r="G112" s="14"/>
      <c r="H112" s="14"/>
      <c r="I112" s="14"/>
      <c r="J112" s="14"/>
      <c r="K112" s="14"/>
      <c r="L112" s="572">
        <v>0</v>
      </c>
    </row>
    <row r="113" spans="1:12" ht="12.75" hidden="1">
      <c r="A113" s="564"/>
      <c r="B113" s="11"/>
      <c r="C113" s="122" t="s">
        <v>8</v>
      </c>
      <c r="D113" s="21" t="s">
        <v>9</v>
      </c>
      <c r="E113" s="14">
        <v>0</v>
      </c>
      <c r="F113" s="14">
        <v>0</v>
      </c>
      <c r="G113" s="14"/>
      <c r="H113" s="14"/>
      <c r="I113" s="14"/>
      <c r="J113" s="14"/>
      <c r="K113" s="14"/>
      <c r="L113" s="572">
        <v>0</v>
      </c>
    </row>
    <row r="114" spans="1:12" ht="13.5" customHeight="1" hidden="1">
      <c r="A114" s="564"/>
      <c r="B114" s="11"/>
      <c r="C114" s="122" t="s">
        <v>10</v>
      </c>
      <c r="D114" s="21" t="s">
        <v>11</v>
      </c>
      <c r="E114" s="14">
        <v>0</v>
      </c>
      <c r="F114" s="14">
        <v>0</v>
      </c>
      <c r="G114" s="14"/>
      <c r="H114" s="14"/>
      <c r="I114" s="14"/>
      <c r="J114" s="14"/>
      <c r="K114" s="14"/>
      <c r="L114" s="572">
        <v>0</v>
      </c>
    </row>
    <row r="115" spans="1:12" ht="12.75" hidden="1">
      <c r="A115" s="564"/>
      <c r="B115" s="11"/>
      <c r="C115" s="122" t="s">
        <v>12</v>
      </c>
      <c r="D115" s="21" t="s">
        <v>97</v>
      </c>
      <c r="E115" s="14">
        <v>0</v>
      </c>
      <c r="F115" s="14">
        <v>0</v>
      </c>
      <c r="G115" s="14"/>
      <c r="H115" s="14"/>
      <c r="I115" s="14"/>
      <c r="J115" s="14"/>
      <c r="K115" s="14"/>
      <c r="L115" s="572">
        <v>0</v>
      </c>
    </row>
    <row r="116" spans="1:12" ht="12.75" hidden="1">
      <c r="A116" s="564"/>
      <c r="B116" s="11"/>
      <c r="C116" s="122" t="s">
        <v>16</v>
      </c>
      <c r="D116" s="21" t="s">
        <v>99</v>
      </c>
      <c r="E116" s="14">
        <v>0</v>
      </c>
      <c r="F116" s="14">
        <v>0</v>
      </c>
      <c r="G116" s="14"/>
      <c r="H116" s="14"/>
      <c r="I116" s="14"/>
      <c r="J116" s="14"/>
      <c r="K116" s="14"/>
      <c r="L116" s="572">
        <v>0</v>
      </c>
    </row>
    <row r="117" spans="1:12" ht="12.75" hidden="1">
      <c r="A117" s="564"/>
      <c r="B117" s="11"/>
      <c r="C117" s="122" t="s">
        <v>18</v>
      </c>
      <c r="D117" s="21" t="s">
        <v>19</v>
      </c>
      <c r="E117" s="14">
        <v>0</v>
      </c>
      <c r="F117" s="14">
        <v>0</v>
      </c>
      <c r="G117" s="14"/>
      <c r="H117" s="14"/>
      <c r="I117" s="14"/>
      <c r="J117" s="14"/>
      <c r="K117" s="14"/>
      <c r="L117" s="572">
        <v>0</v>
      </c>
    </row>
    <row r="118" spans="1:12" ht="12.75" hidden="1">
      <c r="A118" s="564"/>
      <c r="B118" s="11"/>
      <c r="C118" s="122" t="s">
        <v>22</v>
      </c>
      <c r="D118" s="21" t="s">
        <v>23</v>
      </c>
      <c r="E118" s="14">
        <v>0</v>
      </c>
      <c r="F118" s="14">
        <v>0</v>
      </c>
      <c r="G118" s="14"/>
      <c r="H118" s="14"/>
      <c r="I118" s="14"/>
      <c r="J118" s="14"/>
      <c r="K118" s="14"/>
      <c r="L118" s="572">
        <v>0</v>
      </c>
    </row>
    <row r="119" spans="1:12" ht="12.75" hidden="1">
      <c r="A119" s="566" t="s">
        <v>279</v>
      </c>
      <c r="B119" s="11" t="s">
        <v>339</v>
      </c>
      <c r="C119" s="11" t="s">
        <v>421</v>
      </c>
      <c r="D119" s="5" t="s">
        <v>340</v>
      </c>
      <c r="E119" s="5" t="e">
        <f>'Z 1'!#REF!</f>
        <v>#REF!</v>
      </c>
      <c r="F119" s="5">
        <f>F120+F121+F122+F123+F124+F125+F127+F128+F129+F130+F131</f>
        <v>0</v>
      </c>
      <c r="G119" s="5"/>
      <c r="H119" s="5"/>
      <c r="I119" s="5"/>
      <c r="J119" s="5"/>
      <c r="K119" s="5"/>
      <c r="L119" s="567">
        <v>0</v>
      </c>
    </row>
    <row r="120" spans="1:12" ht="25.5" hidden="1">
      <c r="A120" s="564"/>
      <c r="B120" s="11"/>
      <c r="C120" s="22" t="s">
        <v>2</v>
      </c>
      <c r="D120" s="21" t="s">
        <v>3</v>
      </c>
      <c r="E120" s="14">
        <v>0</v>
      </c>
      <c r="F120" s="14">
        <v>0</v>
      </c>
      <c r="G120" s="14"/>
      <c r="H120" s="14"/>
      <c r="I120" s="14"/>
      <c r="J120" s="14"/>
      <c r="K120" s="14"/>
      <c r="L120" s="572">
        <v>0</v>
      </c>
    </row>
    <row r="121" spans="1:12" ht="12.75" hidden="1">
      <c r="A121" s="564"/>
      <c r="B121" s="11"/>
      <c r="C121" s="22" t="s">
        <v>6</v>
      </c>
      <c r="D121" s="14" t="s">
        <v>433</v>
      </c>
      <c r="E121" s="14">
        <v>0</v>
      </c>
      <c r="F121" s="14">
        <v>0</v>
      </c>
      <c r="G121" s="14"/>
      <c r="H121" s="14"/>
      <c r="I121" s="14"/>
      <c r="J121" s="14"/>
      <c r="K121" s="14"/>
      <c r="L121" s="572">
        <v>0</v>
      </c>
    </row>
    <row r="122" spans="1:12" ht="12.75" hidden="1">
      <c r="A122" s="564"/>
      <c r="B122" s="11"/>
      <c r="C122" s="122" t="s">
        <v>33</v>
      </c>
      <c r="D122" s="21" t="s">
        <v>70</v>
      </c>
      <c r="E122" s="14">
        <v>0</v>
      </c>
      <c r="F122" s="14">
        <v>0</v>
      </c>
      <c r="G122" s="14"/>
      <c r="H122" s="14"/>
      <c r="I122" s="14"/>
      <c r="J122" s="14"/>
      <c r="K122" s="14"/>
      <c r="L122" s="572">
        <v>0</v>
      </c>
    </row>
    <row r="123" spans="1:12" ht="12.75" hidden="1">
      <c r="A123" s="564"/>
      <c r="B123" s="11"/>
      <c r="C123" s="122" t="s">
        <v>8</v>
      </c>
      <c r="D123" s="21" t="s">
        <v>9</v>
      </c>
      <c r="E123" s="14">
        <v>0</v>
      </c>
      <c r="F123" s="14">
        <v>0</v>
      </c>
      <c r="G123" s="14"/>
      <c r="H123" s="14"/>
      <c r="I123" s="14"/>
      <c r="J123" s="14"/>
      <c r="K123" s="14"/>
      <c r="L123" s="572">
        <v>0</v>
      </c>
    </row>
    <row r="124" spans="1:12" ht="12.75" hidden="1">
      <c r="A124" s="564"/>
      <c r="B124" s="20"/>
      <c r="C124" s="22" t="s">
        <v>10</v>
      </c>
      <c r="D124" s="14" t="s">
        <v>11</v>
      </c>
      <c r="E124" s="14">
        <v>0</v>
      </c>
      <c r="F124" s="14">
        <v>0</v>
      </c>
      <c r="G124" s="14"/>
      <c r="H124" s="14"/>
      <c r="I124" s="14"/>
      <c r="J124" s="14"/>
      <c r="K124" s="14"/>
      <c r="L124" s="572">
        <v>0</v>
      </c>
    </row>
    <row r="125" spans="1:12" ht="12.75" hidden="1">
      <c r="A125" s="564"/>
      <c r="B125" s="20"/>
      <c r="C125" s="22" t="s">
        <v>12</v>
      </c>
      <c r="D125" s="14" t="s">
        <v>97</v>
      </c>
      <c r="E125" s="14">
        <v>0</v>
      </c>
      <c r="F125" s="14">
        <v>0</v>
      </c>
      <c r="G125" s="14"/>
      <c r="H125" s="14"/>
      <c r="I125" s="14"/>
      <c r="J125" s="14"/>
      <c r="K125" s="14"/>
      <c r="L125" s="572">
        <v>0</v>
      </c>
    </row>
    <row r="126" spans="1:12" ht="12.75" hidden="1">
      <c r="A126" s="564"/>
      <c r="B126" s="20"/>
      <c r="C126" s="22" t="s">
        <v>14</v>
      </c>
      <c r="D126" s="14" t="s">
        <v>98</v>
      </c>
      <c r="E126" s="14">
        <v>0</v>
      </c>
      <c r="F126" s="14">
        <v>15074</v>
      </c>
      <c r="G126" s="14"/>
      <c r="H126" s="14"/>
      <c r="I126" s="14"/>
      <c r="J126" s="14"/>
      <c r="K126" s="14"/>
      <c r="L126" s="572">
        <v>0</v>
      </c>
    </row>
    <row r="127" spans="1:12" ht="12.75" hidden="1">
      <c r="A127" s="564"/>
      <c r="B127" s="20"/>
      <c r="C127" s="22" t="s">
        <v>16</v>
      </c>
      <c r="D127" s="14" t="s">
        <v>99</v>
      </c>
      <c r="E127" s="14">
        <v>0</v>
      </c>
      <c r="F127" s="14">
        <v>0</v>
      </c>
      <c r="G127" s="14"/>
      <c r="H127" s="14"/>
      <c r="I127" s="14"/>
      <c r="J127" s="14"/>
      <c r="K127" s="14"/>
      <c r="L127" s="572">
        <v>0</v>
      </c>
    </row>
    <row r="128" spans="1:12" ht="12.75" hidden="1">
      <c r="A128" s="564"/>
      <c r="B128" s="20"/>
      <c r="C128" s="22" t="s">
        <v>18</v>
      </c>
      <c r="D128" s="14" t="s">
        <v>19</v>
      </c>
      <c r="E128" s="14">
        <v>0</v>
      </c>
      <c r="F128" s="14">
        <v>0</v>
      </c>
      <c r="G128" s="14"/>
      <c r="H128" s="14"/>
      <c r="I128" s="14"/>
      <c r="J128" s="14"/>
      <c r="K128" s="14"/>
      <c r="L128" s="572">
        <v>0</v>
      </c>
    </row>
    <row r="129" spans="1:12" ht="12.75" hidden="1">
      <c r="A129" s="564"/>
      <c r="B129" s="20"/>
      <c r="C129" s="22" t="s">
        <v>20</v>
      </c>
      <c r="D129" s="14" t="s">
        <v>21</v>
      </c>
      <c r="E129" s="14">
        <v>0</v>
      </c>
      <c r="F129" s="14">
        <v>0</v>
      </c>
      <c r="G129" s="14"/>
      <c r="H129" s="14"/>
      <c r="I129" s="14"/>
      <c r="J129" s="14"/>
      <c r="K129" s="14"/>
      <c r="L129" s="572">
        <v>0</v>
      </c>
    </row>
    <row r="130" spans="1:12" ht="12.75" hidden="1">
      <c r="A130" s="564"/>
      <c r="B130" s="20"/>
      <c r="C130" s="22" t="s">
        <v>22</v>
      </c>
      <c r="D130" s="14" t="s">
        <v>23</v>
      </c>
      <c r="E130" s="14">
        <v>0</v>
      </c>
      <c r="F130" s="14">
        <v>0</v>
      </c>
      <c r="G130" s="14"/>
      <c r="H130" s="14"/>
      <c r="I130" s="14"/>
      <c r="J130" s="14"/>
      <c r="K130" s="14"/>
      <c r="L130" s="572">
        <v>0</v>
      </c>
    </row>
    <row r="131" spans="1:12" ht="12.75" hidden="1">
      <c r="A131" s="564"/>
      <c r="B131" s="20"/>
      <c r="C131" s="22" t="s">
        <v>38</v>
      </c>
      <c r="D131" s="14" t="s">
        <v>39</v>
      </c>
      <c r="E131" s="14">
        <v>0</v>
      </c>
      <c r="F131" s="14">
        <v>0</v>
      </c>
      <c r="G131" s="14"/>
      <c r="H131" s="14"/>
      <c r="I131" s="14"/>
      <c r="J131" s="14"/>
      <c r="K131" s="14"/>
      <c r="L131" s="572">
        <v>0</v>
      </c>
    </row>
    <row r="132" spans="1:12" ht="21" customHeight="1" thickBot="1">
      <c r="A132" s="783" t="s">
        <v>455</v>
      </c>
      <c r="B132" s="784"/>
      <c r="C132" s="784"/>
      <c r="D132" s="784"/>
      <c r="E132" s="501">
        <f aca="true" t="shared" si="13" ref="E132:L132">E17+E34+E42+E44+E46+E65+E75+E84+E107</f>
        <v>3459804</v>
      </c>
      <c r="F132" s="501">
        <f t="shared" si="13"/>
        <v>3459804</v>
      </c>
      <c r="G132" s="501">
        <f t="shared" si="13"/>
        <v>3459804</v>
      </c>
      <c r="H132" s="501">
        <f t="shared" si="13"/>
        <v>2066462</v>
      </c>
      <c r="I132" s="501">
        <f t="shared" si="13"/>
        <v>47090</v>
      </c>
      <c r="J132" s="501">
        <f t="shared" si="13"/>
        <v>754000</v>
      </c>
      <c r="K132" s="501">
        <f t="shared" si="13"/>
        <v>0</v>
      </c>
      <c r="L132" s="577">
        <f t="shared" si="13"/>
        <v>0</v>
      </c>
    </row>
    <row r="133" ht="12.75">
      <c r="E133" t="s">
        <v>238</v>
      </c>
    </row>
  </sheetData>
  <mergeCells count="13">
    <mergeCell ref="E1:L1"/>
    <mergeCell ref="A5:L5"/>
    <mergeCell ref="A132:D132"/>
    <mergeCell ref="L9:L11"/>
    <mergeCell ref="D9:D11"/>
    <mergeCell ref="A9:C9"/>
    <mergeCell ref="E9:E11"/>
    <mergeCell ref="G10:G11"/>
    <mergeCell ref="H10:J10"/>
    <mergeCell ref="F9:F11"/>
    <mergeCell ref="G9:K9"/>
    <mergeCell ref="K10:K11"/>
    <mergeCell ref="B16:F16"/>
  </mergeCells>
  <printOptions/>
  <pageMargins left="0.4330708661417323" right="0.4330708661417323" top="0.54" bottom="0.5905511811023623" header="0.5118110236220472" footer="0.5118110236220472"/>
  <pageSetup horizontalDpi="600" verticalDpi="600" orientation="landscape" paperSize="9" scale="8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8" sqref="G8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6.25390625" style="0" customWidth="1"/>
    <col min="4" max="4" width="22.375" style="0" customWidth="1"/>
    <col min="5" max="11" width="12.75390625" style="0" customWidth="1"/>
    <col min="12" max="12" width="9.625" style="0" bestFit="1" customWidth="1"/>
  </cols>
  <sheetData>
    <row r="1" spans="4:11" ht="40.5" customHeight="1">
      <c r="D1" s="1"/>
      <c r="E1" s="660" t="s">
        <v>919</v>
      </c>
      <c r="F1" s="660"/>
      <c r="G1" s="660"/>
      <c r="H1" s="660"/>
      <c r="I1" s="660"/>
      <c r="J1" s="660"/>
      <c r="K1" s="660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805" t="s">
        <v>920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</row>
    <row r="4" spans="1:11" ht="13.5" thickBot="1">
      <c r="A4" s="897" t="s">
        <v>411</v>
      </c>
      <c r="B4" s="898"/>
      <c r="C4" s="899"/>
      <c r="D4" s="900" t="s">
        <v>412</v>
      </c>
      <c r="E4" s="901" t="s">
        <v>233</v>
      </c>
      <c r="F4" s="901" t="s">
        <v>442</v>
      </c>
      <c r="G4" s="900" t="s">
        <v>271</v>
      </c>
      <c r="H4" s="902"/>
      <c r="I4" s="902"/>
      <c r="J4" s="902"/>
      <c r="K4" s="903"/>
    </row>
    <row r="5" spans="1:11" ht="13.5" thickBot="1">
      <c r="A5" s="904"/>
      <c r="B5" s="905"/>
      <c r="C5" s="906"/>
      <c r="D5" s="907"/>
      <c r="E5" s="908"/>
      <c r="F5" s="908"/>
      <c r="G5" s="909" t="s">
        <v>747</v>
      </c>
      <c r="H5" s="910" t="s">
        <v>475</v>
      </c>
      <c r="I5" s="862"/>
      <c r="J5" s="911"/>
      <c r="K5" s="909" t="s">
        <v>848</v>
      </c>
    </row>
    <row r="6" spans="1:11" ht="18.75" thickBot="1">
      <c r="A6" s="912" t="s">
        <v>415</v>
      </c>
      <c r="B6" s="905" t="s">
        <v>416</v>
      </c>
      <c r="C6" s="912" t="s">
        <v>905</v>
      </c>
      <c r="D6" s="913"/>
      <c r="E6" s="914"/>
      <c r="F6" s="914"/>
      <c r="G6" s="914"/>
      <c r="H6" s="915" t="s">
        <v>272</v>
      </c>
      <c r="I6" s="916" t="s">
        <v>577</v>
      </c>
      <c r="J6" s="916" t="s">
        <v>578</v>
      </c>
      <c r="K6" s="914"/>
    </row>
    <row r="7" spans="1:11" ht="11.25" customHeight="1">
      <c r="A7" s="484">
        <v>1</v>
      </c>
      <c r="B7" s="485">
        <v>2</v>
      </c>
      <c r="C7" s="485">
        <v>3</v>
      </c>
      <c r="D7" s="195">
        <v>4</v>
      </c>
      <c r="E7" s="486">
        <v>5</v>
      </c>
      <c r="F7" s="487">
        <v>6</v>
      </c>
      <c r="G7" s="487">
        <v>7</v>
      </c>
      <c r="H7" s="487">
        <v>8</v>
      </c>
      <c r="I7" s="487">
        <v>9</v>
      </c>
      <c r="J7" s="487">
        <v>10</v>
      </c>
      <c r="K7" s="487">
        <v>11</v>
      </c>
    </row>
    <row r="8" spans="1:11" ht="25.5">
      <c r="A8" s="162">
        <v>852</v>
      </c>
      <c r="B8" s="162">
        <v>85202</v>
      </c>
      <c r="C8" s="162">
        <v>2130</v>
      </c>
      <c r="D8" s="183" t="s">
        <v>285</v>
      </c>
      <c r="E8" s="184">
        <f>'Z 1'!G137</f>
        <v>471000</v>
      </c>
      <c r="F8" s="184">
        <f aca="true" t="shared" si="0" ref="F8:K8">SUM(F9:F24)</f>
        <v>471000</v>
      </c>
      <c r="G8" s="184">
        <f t="shared" si="0"/>
        <v>471000</v>
      </c>
      <c r="H8" s="184">
        <f t="shared" si="0"/>
        <v>387998</v>
      </c>
      <c r="I8" s="184">
        <f t="shared" si="0"/>
        <v>43190</v>
      </c>
      <c r="J8" s="184">
        <f t="shared" si="0"/>
        <v>0</v>
      </c>
      <c r="K8" s="184">
        <f t="shared" si="0"/>
        <v>0</v>
      </c>
    </row>
    <row r="9" spans="1:11" ht="22.5">
      <c r="A9" s="13"/>
      <c r="B9" s="13"/>
      <c r="C9" s="354">
        <v>4010</v>
      </c>
      <c r="D9" s="143" t="s">
        <v>3</v>
      </c>
      <c r="E9" s="78">
        <v>0</v>
      </c>
      <c r="F9" s="78">
        <v>360514</v>
      </c>
      <c r="G9" s="78">
        <f>F9</f>
        <v>360514</v>
      </c>
      <c r="H9" s="78">
        <f>G9</f>
        <v>360514</v>
      </c>
      <c r="I9" s="78"/>
      <c r="J9" s="78"/>
      <c r="K9" s="78"/>
    </row>
    <row r="10" spans="1:11" ht="22.5">
      <c r="A10" s="13"/>
      <c r="B10" s="13"/>
      <c r="C10" s="354">
        <v>4040</v>
      </c>
      <c r="D10" s="143" t="s">
        <v>446</v>
      </c>
      <c r="E10" s="78">
        <v>0</v>
      </c>
      <c r="F10" s="78">
        <v>27484</v>
      </c>
      <c r="G10" s="78">
        <f aca="true" t="shared" si="1" ref="G10:G24">F10</f>
        <v>27484</v>
      </c>
      <c r="H10" s="78">
        <f>G10</f>
        <v>27484</v>
      </c>
      <c r="I10" s="78"/>
      <c r="J10" s="78"/>
      <c r="K10" s="78"/>
    </row>
    <row r="11" spans="1:11" ht="12.75">
      <c r="A11" s="13"/>
      <c r="B11" s="13"/>
      <c r="C11" s="478">
        <v>4110</v>
      </c>
      <c r="D11" s="143" t="s">
        <v>70</v>
      </c>
      <c r="E11" s="78">
        <v>0</v>
      </c>
      <c r="F11" s="78">
        <v>34300</v>
      </c>
      <c r="G11" s="78">
        <f t="shared" si="1"/>
        <v>34300</v>
      </c>
      <c r="H11" s="78"/>
      <c r="I11" s="78">
        <f>G11</f>
        <v>34300</v>
      </c>
      <c r="J11" s="78"/>
      <c r="K11" s="78"/>
    </row>
    <row r="12" spans="1:11" ht="12.75">
      <c r="A12" s="13"/>
      <c r="B12" s="13"/>
      <c r="C12" s="478">
        <v>4120</v>
      </c>
      <c r="D12" s="143" t="s">
        <v>9</v>
      </c>
      <c r="E12" s="78">
        <v>0</v>
      </c>
      <c r="F12" s="78">
        <v>8890</v>
      </c>
      <c r="G12" s="78">
        <f t="shared" si="1"/>
        <v>8890</v>
      </c>
      <c r="H12" s="78"/>
      <c r="I12" s="78">
        <f>G12</f>
        <v>8890</v>
      </c>
      <c r="J12" s="78"/>
      <c r="K12" s="78"/>
    </row>
    <row r="13" spans="1:11" ht="22.5">
      <c r="A13" s="13"/>
      <c r="B13" s="13"/>
      <c r="C13" s="354">
        <v>4210</v>
      </c>
      <c r="D13" s="143" t="s">
        <v>11</v>
      </c>
      <c r="E13" s="78">
        <v>0</v>
      </c>
      <c r="F13" s="78">
        <v>1686</v>
      </c>
      <c r="G13" s="78">
        <f t="shared" si="1"/>
        <v>1686</v>
      </c>
      <c r="H13" s="78"/>
      <c r="I13" s="78"/>
      <c r="J13" s="78"/>
      <c r="K13" s="78"/>
    </row>
    <row r="14" spans="1:11" ht="22.5">
      <c r="A14" s="13"/>
      <c r="B14" s="13"/>
      <c r="C14" s="354">
        <v>4230</v>
      </c>
      <c r="D14" s="143" t="s">
        <v>734</v>
      </c>
      <c r="E14" s="78">
        <v>0</v>
      </c>
      <c r="F14" s="78">
        <v>1000</v>
      </c>
      <c r="G14" s="78">
        <f t="shared" si="1"/>
        <v>1000</v>
      </c>
      <c r="H14" s="78"/>
      <c r="I14" s="78"/>
      <c r="J14" s="78"/>
      <c r="K14" s="78"/>
    </row>
    <row r="15" spans="1:11" ht="12.75">
      <c r="A15" s="13"/>
      <c r="B15" s="13"/>
      <c r="C15" s="354">
        <v>4260</v>
      </c>
      <c r="D15" s="143" t="s">
        <v>97</v>
      </c>
      <c r="E15" s="78">
        <v>0</v>
      </c>
      <c r="F15" s="78">
        <v>5000</v>
      </c>
      <c r="G15" s="78">
        <f t="shared" si="1"/>
        <v>5000</v>
      </c>
      <c r="H15" s="78"/>
      <c r="I15" s="78"/>
      <c r="J15" s="78"/>
      <c r="K15" s="78"/>
    </row>
    <row r="16" spans="1:11" ht="12.75" hidden="1">
      <c r="A16" s="13"/>
      <c r="B16" s="13"/>
      <c r="C16" s="354">
        <v>4270</v>
      </c>
      <c r="D16" s="143" t="s">
        <v>98</v>
      </c>
      <c r="E16" s="78">
        <v>0</v>
      </c>
      <c r="F16" s="78"/>
      <c r="G16" s="78">
        <f t="shared" si="1"/>
        <v>0</v>
      </c>
      <c r="H16" s="78"/>
      <c r="I16" s="78"/>
      <c r="J16" s="78"/>
      <c r="K16" s="78"/>
    </row>
    <row r="17" spans="1:11" ht="12.75">
      <c r="A17" s="13"/>
      <c r="B17" s="13"/>
      <c r="C17" s="354">
        <v>4300</v>
      </c>
      <c r="D17" s="143" t="s">
        <v>99</v>
      </c>
      <c r="E17" s="78">
        <v>0</v>
      </c>
      <c r="F17" s="78">
        <v>12000</v>
      </c>
      <c r="G17" s="78">
        <f t="shared" si="1"/>
        <v>12000</v>
      </c>
      <c r="H17" s="78"/>
      <c r="I17" s="78"/>
      <c r="J17" s="78"/>
      <c r="K17" s="78"/>
    </row>
    <row r="18" spans="1:11" ht="12.75">
      <c r="A18" s="13"/>
      <c r="B18" s="13"/>
      <c r="C18" s="354">
        <v>4350</v>
      </c>
      <c r="D18" s="129" t="s">
        <v>738</v>
      </c>
      <c r="E18" s="78">
        <v>0</v>
      </c>
      <c r="F18" s="78">
        <v>700</v>
      </c>
      <c r="G18" s="78">
        <f t="shared" si="1"/>
        <v>700</v>
      </c>
      <c r="H18" s="78"/>
      <c r="I18" s="78"/>
      <c r="J18" s="78"/>
      <c r="K18" s="78"/>
    </row>
    <row r="19" spans="1:11" ht="22.5">
      <c r="A19" s="13"/>
      <c r="B19" s="13"/>
      <c r="C19" s="354">
        <v>4360</v>
      </c>
      <c r="D19" s="129" t="s">
        <v>326</v>
      </c>
      <c r="E19" s="78">
        <v>0</v>
      </c>
      <c r="F19" s="78">
        <v>500</v>
      </c>
      <c r="G19" s="78">
        <f t="shared" si="1"/>
        <v>500</v>
      </c>
      <c r="H19" s="78"/>
      <c r="I19" s="78"/>
      <c r="J19" s="78"/>
      <c r="K19" s="78"/>
    </row>
    <row r="20" spans="1:11" ht="22.5">
      <c r="A20" s="13"/>
      <c r="B20" s="13"/>
      <c r="C20" s="354">
        <v>4370</v>
      </c>
      <c r="D20" s="129" t="s">
        <v>320</v>
      </c>
      <c r="E20" s="78">
        <v>0</v>
      </c>
      <c r="F20" s="78">
        <v>1500</v>
      </c>
      <c r="G20" s="78">
        <f t="shared" si="1"/>
        <v>1500</v>
      </c>
      <c r="H20" s="78"/>
      <c r="I20" s="78"/>
      <c r="J20" s="78"/>
      <c r="K20" s="78"/>
    </row>
    <row r="21" spans="1:11" ht="12.75">
      <c r="A21" s="13"/>
      <c r="B21" s="13"/>
      <c r="C21" s="354">
        <v>4410</v>
      </c>
      <c r="D21" s="130" t="s">
        <v>19</v>
      </c>
      <c r="E21" s="78">
        <v>0</v>
      </c>
      <c r="F21" s="78">
        <v>500</v>
      </c>
      <c r="G21" s="78">
        <f t="shared" si="1"/>
        <v>500</v>
      </c>
      <c r="H21" s="78"/>
      <c r="I21" s="78"/>
      <c r="J21" s="78"/>
      <c r="K21" s="78"/>
    </row>
    <row r="22" spans="1:11" ht="12.75">
      <c r="A22" s="13"/>
      <c r="B22" s="13"/>
      <c r="C22" s="354">
        <v>4440</v>
      </c>
      <c r="D22" s="143" t="s">
        <v>23</v>
      </c>
      <c r="E22" s="78">
        <v>0</v>
      </c>
      <c r="F22" s="78">
        <v>15000</v>
      </c>
      <c r="G22" s="78">
        <f t="shared" si="1"/>
        <v>15000</v>
      </c>
      <c r="H22" s="78"/>
      <c r="I22" s="78"/>
      <c r="J22" s="78"/>
      <c r="K22" s="78"/>
    </row>
    <row r="23" spans="1:11" ht="12.75">
      <c r="A23" s="13"/>
      <c r="B23" s="13"/>
      <c r="C23" s="354">
        <v>4480</v>
      </c>
      <c r="D23" s="143" t="s">
        <v>39</v>
      </c>
      <c r="E23" s="78">
        <v>0</v>
      </c>
      <c r="F23" s="78">
        <v>1500</v>
      </c>
      <c r="G23" s="78">
        <f t="shared" si="1"/>
        <v>1500</v>
      </c>
      <c r="H23" s="78"/>
      <c r="I23" s="78"/>
      <c r="J23" s="78"/>
      <c r="K23" s="78"/>
    </row>
    <row r="24" spans="1:11" ht="13.5" thickBot="1">
      <c r="A24" s="39"/>
      <c r="B24" s="39"/>
      <c r="C24" s="479">
        <v>4520</v>
      </c>
      <c r="D24" s="480" t="s">
        <v>451</v>
      </c>
      <c r="E24" s="481">
        <v>0</v>
      </c>
      <c r="F24" s="481">
        <v>426</v>
      </c>
      <c r="G24" s="481">
        <f t="shared" si="1"/>
        <v>426</v>
      </c>
      <c r="H24" s="481"/>
      <c r="I24" s="481"/>
      <c r="J24" s="481"/>
      <c r="K24" s="481"/>
    </row>
    <row r="25" spans="1:11" ht="18.75" customHeight="1" thickBot="1">
      <c r="A25" s="803" t="s">
        <v>739</v>
      </c>
      <c r="B25" s="804"/>
      <c r="C25" s="804"/>
      <c r="D25" s="804"/>
      <c r="E25" s="482">
        <f aca="true" t="shared" si="2" ref="E25:K25">E8</f>
        <v>471000</v>
      </c>
      <c r="F25" s="482">
        <f t="shared" si="2"/>
        <v>471000</v>
      </c>
      <c r="G25" s="482">
        <f t="shared" si="2"/>
        <v>471000</v>
      </c>
      <c r="H25" s="482">
        <f t="shared" si="2"/>
        <v>387998</v>
      </c>
      <c r="I25" s="482">
        <f t="shared" si="2"/>
        <v>43190</v>
      </c>
      <c r="J25" s="482">
        <f t="shared" si="2"/>
        <v>0</v>
      </c>
      <c r="K25" s="483">
        <f t="shared" si="2"/>
        <v>0</v>
      </c>
    </row>
    <row r="26" ht="0.75" customHeight="1">
      <c r="C26" s="81"/>
    </row>
    <row r="27" spans="3:11" ht="12.75">
      <c r="C27" s="81"/>
      <c r="E27" s="126" t="s">
        <v>237</v>
      </c>
      <c r="F27" s="126"/>
      <c r="G27" s="126"/>
      <c r="H27" s="126"/>
      <c r="I27" s="126"/>
      <c r="J27" s="126"/>
      <c r="K27" s="126"/>
    </row>
    <row r="28" spans="1:11" ht="38.25" customHeight="1">
      <c r="A28" s="802"/>
      <c r="B28" s="802"/>
      <c r="C28" s="802"/>
      <c r="D28" s="802"/>
      <c r="E28" s="802"/>
      <c r="F28" s="802"/>
      <c r="G28" s="802"/>
      <c r="H28" s="802"/>
      <c r="I28" s="802"/>
      <c r="J28" s="802"/>
      <c r="K28" s="802"/>
    </row>
    <row r="29" ht="12.75">
      <c r="C29" s="81"/>
    </row>
    <row r="30" ht="12.75">
      <c r="C30" s="81"/>
    </row>
    <row r="31" ht="12.75">
      <c r="C31" s="81"/>
    </row>
    <row r="32" ht="12.75">
      <c r="C32" s="81"/>
    </row>
  </sheetData>
  <mergeCells count="12">
    <mergeCell ref="A28:K28"/>
    <mergeCell ref="A25:D25"/>
    <mergeCell ref="A3:K3"/>
    <mergeCell ref="A4:C4"/>
    <mergeCell ref="D4:D6"/>
    <mergeCell ref="E4:E6"/>
    <mergeCell ref="F4:F6"/>
    <mergeCell ref="G4:K4"/>
    <mergeCell ref="G5:G6"/>
    <mergeCell ref="K5:K6"/>
    <mergeCell ref="H5:J5"/>
    <mergeCell ref="E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SPOLECKO</cp:lastModifiedBy>
  <cp:lastPrinted>2006-11-14T12:08:11Z</cp:lastPrinted>
  <dcterms:created xsi:type="dcterms:W3CDTF">2002-03-22T09:59:04Z</dcterms:created>
  <dcterms:modified xsi:type="dcterms:W3CDTF">2006-11-14T12:08:37Z</dcterms:modified>
  <cp:category/>
  <cp:version/>
  <cp:contentType/>
  <cp:contentStatus/>
</cp:coreProperties>
</file>