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3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</sheets>
  <definedNames>
    <definedName name="_xlnm.Print_Area" localSheetId="1">'Z 2'!$A$1:$Q$515</definedName>
    <definedName name="_xlnm.Print_Area" localSheetId="2">'Z 3 '!$A$1:$G$145</definedName>
    <definedName name="_xlnm.Print_Area" localSheetId="4">'Z 5 '!$A$1:$F$110</definedName>
    <definedName name="_xlnm.Print_Area" localSheetId="0">'Z1'!$A$1:$V$190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<sst xmlns="http://schemas.openxmlformats.org/spreadsheetml/2006/main" count="2040" uniqueCount="782">
  <si>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</si>
  <si>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</si>
  <si>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</si>
  <si>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</si>
  <si>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</si>
  <si>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</si>
  <si>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</si>
  <si>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</si>
  <si>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</si>
  <si>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c)</t>
  </si>
  <si>
    <t>Ochrona zdrowia</t>
  </si>
  <si>
    <t>d)</t>
  </si>
  <si>
    <t>PFRON</t>
  </si>
  <si>
    <t>Edukacyjna opieka wychowawcza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</si>
  <si>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</si>
  <si>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</si>
  <si>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</si>
  <si>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</si>
  <si>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</si>
  <si>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</si>
  <si>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</si>
  <si>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Przebudowa wejścia głównego oraz zakup i montaż platformy do przewozu osób niepełnosprawnych ( rok 2006)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</si>
  <si>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</si>
  <si>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</si>
  <si>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</si>
  <si>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</si>
  <si>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</si>
  <si>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</si>
  <si>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</si>
  <si>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</si>
  <si>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</si>
  <si>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</si>
  <si>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</si>
  <si>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</si>
  <si>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</si>
  <si>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po zmianach</t>
  </si>
  <si>
    <t>zwiększenie /+/</t>
  </si>
  <si>
    <t>zmniejszenie   /-/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</si>
  <si>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</si>
  <si>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</si>
  <si>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</si>
  <si>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</si>
  <si>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</si>
  <si>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</si>
  <si>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</si>
  <si>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</si>
  <si>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</si>
  <si>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</si>
  <si>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</si>
  <si>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</si>
  <si>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</si>
  <si>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</si>
  <si>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</si>
  <si>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</si>
  <si>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</si>
  <si>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</si>
  <si>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</si>
  <si>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</si>
  <si>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</si>
  <si>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</si>
  <si>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</si>
  <si>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</si>
  <si>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</si>
  <si>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</si>
  <si>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</si>
  <si>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</si>
  <si>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</si>
  <si>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</si>
  <si>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</si>
  <si>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</si>
  <si>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</si>
  <si>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Plany przychodów i wydatków dochodów własnych na rok 2006</t>
  </si>
  <si>
    <t>Dochody własne ogółem,                            w tym: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</si>
  <si>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</si>
  <si>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</si>
  <si>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</si>
  <si>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</si>
  <si>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</si>
  <si>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</si>
  <si>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</si>
  <si>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</si>
  <si>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</si>
  <si>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</si>
  <si>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</si>
  <si>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</si>
  <si>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</si>
  <si>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</si>
  <si>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</si>
  <si>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</si>
  <si>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</si>
  <si>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</si>
  <si>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</si>
  <si>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</si>
  <si>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</si>
  <si>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</si>
  <si>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</si>
  <si>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</si>
  <si>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</si>
  <si>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</si>
  <si>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</si>
  <si>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</si>
  <si>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</si>
  <si>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</si>
  <si>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</si>
  <si>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</si>
  <si>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</si>
  <si>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</si>
  <si>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</si>
  <si>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</si>
  <si>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</si>
  <si>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</si>
  <si>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</si>
  <si>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</si>
  <si>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</si>
  <si>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</si>
  <si>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</si>
  <si>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</si>
  <si>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Lp</t>
  </si>
  <si>
    <t>Bursa Szkolna w Gołdapi</t>
  </si>
  <si>
    <t>6439</t>
  </si>
  <si>
    <t>6291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</si>
  <si>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</si>
  <si>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</si>
  <si>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</si>
  <si>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</si>
  <si>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</si>
  <si>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Kom. Pow. Państ. Straży Poż.  Olecko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</si>
  <si>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</si>
  <si>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</si>
  <si>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</si>
  <si>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</si>
  <si>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</si>
  <si>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</si>
  <si>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</si>
  <si>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</si>
  <si>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</si>
  <si>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</si>
  <si>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</si>
  <si>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</si>
  <si>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</si>
  <si>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</si>
  <si>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</si>
  <si>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</si>
  <si>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</si>
  <si>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</si>
  <si>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</si>
  <si>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</si>
  <si>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</si>
  <si>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</si>
  <si>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</si>
  <si>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</si>
  <si>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</si>
  <si>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</si>
  <si>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</si>
  <si>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</si>
  <si>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</si>
  <si>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</si>
  <si>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</si>
  <si>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</si>
  <si>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</si>
  <si>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</si>
  <si>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</si>
  <si>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</si>
  <si>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</si>
  <si>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</si>
  <si>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</si>
  <si>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</si>
  <si>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</si>
  <si>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</si>
  <si>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</si>
  <si>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</si>
  <si>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</si>
  <si>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</si>
  <si>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Ośrodek Szkolno-Wychowawczy dla Dzieci Głuchych                          w Olecku</t>
  </si>
  <si>
    <t>Zespół Szkół Licealnych i Zawodowych w Olecku</t>
  </si>
  <si>
    <t>VIII.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</si>
  <si>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</si>
  <si>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</si>
  <si>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</si>
  <si>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</si>
  <si>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</si>
  <si>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</si>
  <si>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</si>
  <si>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</si>
  <si>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</si>
  <si>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4580</t>
  </si>
  <si>
    <t>kary i odszkod.na rzecz os.fiz.</t>
  </si>
  <si>
    <t>Zespół Szkół Technicznych          w Olecku</t>
  </si>
  <si>
    <t>Wykonanie dokumentacji technicznej na przeniesienie laboratorium wasztatów szkolnych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</si>
  <si>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</si>
  <si>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</si>
  <si>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</si>
  <si>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</si>
  <si>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</si>
  <si>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Wydatki inwest.jedn.budżetowych</t>
  </si>
  <si>
    <t>Kredyty zaciągane w bankach krajowych</t>
  </si>
  <si>
    <t>Ośrodki informacji turystycznej</t>
  </si>
  <si>
    <t>Przewodniczący Rady Powiatu: Wacław Sapieha</t>
  </si>
  <si>
    <t xml:space="preserve"> - dotacja z samorządu wojewódzkiego</t>
  </si>
  <si>
    <t>11.</t>
  </si>
  <si>
    <t>6300</t>
  </si>
  <si>
    <t>Wpływy z tytułu pomocy finansowej udzielanej między j.s.t. Na dofinansowanie własnych zadań inwestycyjnych i zakupoów inwestycyjnych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</si>
  <si>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</si>
  <si>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</si>
  <si>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</si>
  <si>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</si>
  <si>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</si>
  <si>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</si>
  <si>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</si>
  <si>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</si>
  <si>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</si>
  <si>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</si>
  <si>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</si>
  <si>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</si>
  <si>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</si>
  <si>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</si>
  <si>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</si>
  <si>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</si>
  <si>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</si>
  <si>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</si>
  <si>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</si>
  <si>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</si>
  <si>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</si>
  <si>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</si>
  <si>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</si>
  <si>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</si>
  <si>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</si>
  <si>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</si>
  <si>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</si>
  <si>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</si>
  <si>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</si>
  <si>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</si>
  <si>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</si>
  <si>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</si>
  <si>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</si>
  <si>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</si>
  <si>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</si>
  <si>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</si>
  <si>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</si>
  <si>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</si>
  <si>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</si>
  <si>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</si>
  <si>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</si>
  <si>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</si>
  <si>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</si>
  <si>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</si>
  <si>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</si>
  <si>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</si>
  <si>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</si>
  <si>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</si>
  <si>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</si>
  <si>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</si>
  <si>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</si>
  <si>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</si>
  <si>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</si>
  <si>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 xml:space="preserve">                                                                  Przewodniczący Rady Powiatu: Wacław Sapieha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</si>
  <si>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</si>
  <si>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</si>
  <si>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</si>
  <si>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</si>
  <si>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</si>
  <si>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</si>
  <si>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</si>
  <si>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</si>
  <si>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</si>
  <si>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</si>
  <si>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</si>
  <si>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</si>
  <si>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</si>
  <si>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</si>
  <si>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</si>
  <si>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</si>
  <si>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</si>
  <si>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</si>
  <si>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</si>
  <si>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</si>
  <si>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</si>
  <si>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</si>
  <si>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</si>
  <si>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</si>
  <si>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</si>
  <si>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</si>
  <si>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</si>
  <si>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</si>
  <si>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</si>
  <si>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</si>
  <si>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</si>
  <si>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</si>
  <si>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</si>
  <si>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</si>
  <si>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</si>
  <si>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</si>
  <si>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</si>
  <si>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</si>
  <si>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</si>
  <si>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</si>
  <si>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</si>
  <si>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</si>
  <si>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</si>
  <si>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</si>
  <si>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</si>
  <si>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</si>
  <si>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</si>
  <si>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</si>
  <si>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</si>
  <si>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</si>
  <si>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</si>
  <si>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</si>
  <si>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</si>
  <si>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</si>
  <si>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</si>
  <si>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</si>
  <si>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</si>
  <si>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</si>
  <si>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</si>
  <si>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</si>
  <si>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</si>
  <si>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budynku Warsztatów Szkolnych ZST na potrzeby Powiatowego Urząd Pracy i Warmińsko-Mazurskiej Biblioteki Pedagogicznej w Olsztynie Filia w Olecku (rok 2006)</t>
  </si>
  <si>
    <t>Przebudowa odcinka drogi powiatowej nr 1830N Nieźwiedzki-Wilkasy-Sobole w km 2+930 - km  3+ 400, dł. 0,470 km (rok 2006)</t>
  </si>
  <si>
    <t>Zakup rembarki (rok 2006)</t>
  </si>
  <si>
    <t>Zakup zestawów ratowniczych (rok 2006)</t>
  </si>
  <si>
    <t xml:space="preserve">Zakup kserokopiarki i centrali telefonicznej           (rok 2006)                                     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</si>
  <si>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</si>
  <si>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</si>
  <si>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</si>
  <si>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</si>
  <si>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</si>
  <si>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</si>
  <si>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</si>
  <si>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</si>
  <si>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</si>
  <si>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</si>
  <si>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</si>
  <si>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</si>
  <si>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</si>
  <si>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</si>
  <si>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</si>
  <si>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</si>
  <si>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</si>
  <si>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</si>
  <si>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</si>
  <si>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</si>
  <si>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</si>
  <si>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</si>
  <si>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</si>
  <si>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</si>
  <si>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</si>
  <si>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</si>
  <si>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</si>
  <si>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</si>
  <si>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</si>
  <si>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</si>
  <si>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</si>
  <si>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</si>
  <si>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Wacław  Sapieha</t>
  </si>
  <si>
    <t>2130</t>
  </si>
  <si>
    <t>Placówki Opiekuńczo-wychowawcze</t>
  </si>
  <si>
    <t>Likwidacja barier architektonicznych i wyposażenie infrastruktury socjalno-bytowej internatu       (lata 2005-2006)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</si>
  <si>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</si>
  <si>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</si>
  <si>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</si>
  <si>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</si>
  <si>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</si>
  <si>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</si>
  <si>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</si>
  <si>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</si>
  <si>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</si>
  <si>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</si>
  <si>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</si>
  <si>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Powiatowy Urząd Pracy      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</si>
  <si>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</si>
  <si>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</si>
  <si>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</si>
  <si>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</si>
  <si>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</si>
  <si>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</si>
  <si>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</si>
  <si>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</si>
  <si>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</si>
  <si>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</si>
  <si>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</si>
  <si>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</si>
  <si>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</si>
  <si>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</si>
  <si>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</si>
  <si>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</si>
  <si>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</si>
  <si>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</si>
  <si>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</si>
  <si>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</si>
  <si>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</si>
  <si>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</si>
  <si>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</si>
  <si>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</si>
  <si>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</si>
  <si>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</si>
  <si>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</si>
  <si>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</si>
  <si>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</si>
  <si>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</si>
  <si>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</si>
  <si>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</si>
  <si>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</si>
  <si>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</si>
  <si>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</si>
  <si>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</si>
  <si>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</si>
  <si>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</si>
  <si>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</si>
  <si>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</si>
  <si>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</si>
  <si>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</si>
  <si>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</si>
  <si>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</si>
  <si>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</si>
  <si>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</si>
  <si>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</si>
  <si>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</si>
  <si>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</si>
  <si>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</si>
  <si>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</si>
  <si>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</si>
  <si>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</si>
  <si>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</si>
  <si>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</si>
  <si>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</si>
  <si>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</si>
  <si>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</si>
  <si>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</si>
  <si>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</si>
  <si>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</si>
  <si>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</si>
  <si>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</si>
  <si>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</si>
  <si>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</si>
  <si>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</si>
  <si>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</si>
  <si>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</si>
  <si>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</si>
  <si>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</si>
  <si>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</si>
  <si>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</si>
  <si>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</si>
  <si>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</si>
  <si>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</si>
  <si>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</si>
  <si>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</si>
  <si>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</si>
  <si>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</si>
  <si>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</si>
  <si>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</si>
  <si>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</si>
  <si>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</si>
  <si>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</si>
  <si>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</si>
  <si>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</si>
  <si>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</si>
  <si>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</si>
  <si>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</si>
  <si>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</si>
  <si>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</si>
  <si>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</si>
  <si>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</si>
  <si>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</si>
  <si>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</si>
  <si>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</si>
  <si>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</si>
  <si>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</si>
  <si>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</si>
  <si>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</si>
  <si>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</si>
  <si>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</si>
  <si>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</si>
  <si>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</si>
  <si>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</si>
  <si>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</si>
  <si>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</si>
  <si>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</si>
  <si>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</si>
  <si>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</si>
  <si>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</si>
  <si>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</si>
  <si>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</si>
  <si>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</si>
  <si>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</si>
  <si>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</si>
  <si>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</si>
  <si>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</si>
  <si>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</si>
  <si>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</si>
  <si>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</si>
  <si>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</si>
  <si>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</si>
  <si>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</si>
  <si>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</si>
  <si>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</si>
  <si>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</si>
  <si>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</si>
  <si>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</si>
  <si>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</si>
  <si>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</si>
  <si>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</si>
  <si>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</si>
  <si>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</si>
  <si>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</si>
  <si>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</si>
  <si>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</si>
  <si>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</si>
  <si>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</si>
  <si>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</si>
  <si>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</si>
  <si>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</si>
  <si>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</si>
  <si>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</si>
  <si>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</si>
  <si>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</si>
  <si>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</si>
  <si>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</si>
  <si>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</si>
  <si>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</si>
  <si>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</si>
  <si>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</si>
  <si>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</si>
  <si>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</si>
  <si>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</si>
  <si>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</si>
  <si>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</si>
  <si>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</si>
  <si>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</si>
  <si>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</si>
  <si>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</si>
  <si>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</si>
  <si>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</si>
  <si>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</si>
  <si>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</si>
  <si>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</si>
  <si>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</si>
  <si>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</si>
  <si>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</si>
  <si>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</si>
  <si>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</si>
  <si>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</si>
  <si>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</si>
  <si>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</si>
  <si>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</si>
  <si>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</si>
  <si>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</si>
  <si>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</si>
  <si>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</si>
  <si>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</si>
  <si>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</si>
  <si>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</si>
  <si>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</si>
  <si>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</si>
  <si>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</si>
  <si>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</si>
  <si>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</si>
  <si>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</si>
  <si>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</si>
  <si>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</si>
  <si>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</si>
  <si>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</si>
  <si>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</si>
  <si>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</si>
  <si>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</si>
  <si>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</si>
  <si>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</si>
  <si>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</si>
  <si>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</si>
  <si>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</si>
  <si>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</si>
  <si>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</si>
  <si>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</si>
  <si>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</si>
  <si>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</si>
  <si>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</si>
  <si>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</si>
  <si>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</si>
  <si>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</si>
  <si>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</si>
  <si>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</si>
  <si>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</si>
  <si>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</si>
  <si>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</si>
  <si>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</si>
  <si>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</si>
  <si>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</si>
  <si>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</si>
  <si>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</si>
  <si>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</si>
  <si>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</si>
  <si>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</si>
  <si>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</si>
  <si>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</si>
  <si>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</si>
  <si>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</si>
  <si>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</si>
  <si>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</si>
  <si>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</si>
  <si>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</si>
  <si>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</si>
  <si>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</si>
  <si>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</si>
  <si>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</si>
  <si>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</si>
  <si>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</si>
  <si>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</si>
  <si>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</si>
  <si>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</si>
  <si>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</si>
  <si>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</si>
  <si>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</si>
  <si>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</si>
  <si>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</si>
  <si>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</si>
  <si>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</si>
  <si>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</si>
  <si>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</si>
  <si>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</si>
  <si>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</si>
  <si>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</si>
  <si>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</si>
  <si>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</si>
  <si>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</si>
  <si>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</si>
  <si>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</si>
  <si>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</si>
  <si>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</si>
  <si>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</si>
  <si>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</si>
  <si>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</si>
  <si>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</si>
  <si>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</si>
  <si>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</si>
  <si>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</si>
  <si>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</si>
  <si>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</si>
  <si>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</si>
  <si>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</si>
  <si>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</si>
  <si>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</si>
  <si>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</si>
  <si>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</si>
  <si>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</si>
  <si>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</si>
  <si>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</si>
  <si>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</si>
  <si>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</si>
  <si>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</si>
  <si>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</si>
  <si>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</si>
  <si>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</si>
  <si>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</si>
  <si>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</si>
  <si>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</si>
  <si>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</si>
  <si>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</si>
  <si>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</si>
  <si>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</si>
  <si>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</si>
  <si>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</si>
  <si>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</si>
  <si>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</si>
  <si>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</si>
  <si>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</si>
  <si>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</si>
  <si>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</si>
  <si>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</si>
  <si>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</si>
  <si>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</si>
  <si>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</si>
  <si>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</si>
  <si>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</si>
  <si>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</si>
  <si>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</si>
  <si>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</si>
  <si>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</si>
  <si>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</si>
  <si>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</si>
  <si>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</si>
  <si>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</si>
  <si>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</si>
  <si>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</si>
  <si>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</si>
  <si>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</si>
  <si>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</si>
  <si>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</si>
  <si>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</si>
  <si>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</si>
  <si>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</si>
  <si>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</si>
  <si>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</si>
  <si>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</si>
  <si>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</si>
  <si>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</si>
  <si>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</si>
  <si>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</si>
  <si>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</si>
  <si>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</si>
  <si>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</si>
  <si>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</si>
  <si>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</si>
  <si>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</si>
  <si>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</si>
  <si>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</si>
  <si>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</si>
  <si>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</si>
  <si>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</si>
  <si>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</si>
  <si>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</si>
  <si>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</si>
  <si>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</si>
  <si>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</si>
  <si>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</si>
  <si>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</si>
  <si>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</si>
  <si>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</si>
  <si>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</si>
  <si>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</si>
  <si>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</si>
  <si>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</si>
  <si>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</si>
  <si>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</si>
  <si>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</si>
  <si>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</si>
  <si>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</si>
  <si>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</si>
  <si>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</si>
  <si>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</si>
  <si>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</si>
  <si>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</si>
  <si>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</si>
  <si>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</si>
  <si>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</si>
  <si>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</si>
  <si>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</si>
  <si>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</si>
  <si>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</si>
  <si>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</si>
  <si>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</si>
  <si>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</si>
  <si>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</si>
  <si>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</si>
  <si>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</si>
  <si>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</si>
  <si>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</si>
  <si>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</si>
  <si>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</si>
  <si>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</si>
  <si>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</si>
  <si>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</si>
  <si>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</si>
  <si>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</si>
  <si>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</si>
  <si>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</si>
  <si>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</si>
  <si>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</si>
  <si>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</si>
  <si>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</si>
  <si>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</si>
  <si>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</si>
  <si>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</si>
  <si>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</si>
  <si>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</si>
  <si>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</si>
  <si>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</si>
  <si>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</si>
  <si>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</si>
  <si>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</si>
  <si>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</si>
  <si>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</si>
  <si>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</si>
  <si>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</si>
  <si>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 xml:space="preserve">                              Załącznik Nr 1 do Uchwały Rady Powiatu Nr XLIII/309/06 z dnia 29 czerwca  2006r.</t>
  </si>
  <si>
    <t>Załącznik Nr 2 do Uchwały Rady Powiatu w Olecku                                                Nr  XLIII/309/06  z dnia 29 czerwca 2006 roku</t>
  </si>
  <si>
    <t xml:space="preserve">Załącznik nr 3 do Uchwały Rady Powiatu                                             w Olecku Nr XLIII/309/06  z dnia 29 czerwca  2006r. </t>
  </si>
  <si>
    <r>
      <t xml:space="preserve">Załącznik Nr 5 do Uchwały Rady Powiatu Nr </t>
    </r>
    <r>
      <rPr>
        <sz val="8"/>
        <rFont val="Arial CE"/>
        <family val="0"/>
      </rPr>
      <t>XLIII/309/06</t>
    </r>
    <r>
      <rPr>
        <sz val="8"/>
        <rFont val="Arial CE"/>
        <family val="2"/>
      </rPr>
      <t xml:space="preserve"> z dnia 29 czerwca 2006r.</t>
    </r>
  </si>
  <si>
    <r>
      <t>Załącznik nr 6 do Uchwały Rady Powiatu w Olecku Nr</t>
    </r>
    <r>
      <rPr>
        <b/>
        <sz val="7"/>
        <rFont val="Arial CE"/>
        <family val="2"/>
      </rPr>
      <t xml:space="preserve"> XLIII/309/06</t>
    </r>
    <r>
      <rPr>
        <b/>
        <sz val="7"/>
        <rFont val="Arial CE"/>
        <family val="0"/>
      </rPr>
      <t xml:space="preserve"> z dnia 29 czerwca 2006r.</t>
    </r>
  </si>
  <si>
    <t>Załącznik nr 7 do Uchwały Rady Powiatu nr XLIII/309/06 z dnia 29 czerwca 2006r.</t>
  </si>
  <si>
    <r>
      <t>Załącznik Nr 8 do Uchwały Rady Powiatu                                  w Olecku Nr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XLIII/309/06 z dnia  29 czerwca 2005 roku</t>
    </r>
  </si>
  <si>
    <r>
      <t>Załącznik Nr 9 do Uchwały Rady Powiatu w Olecku Nr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XLIII/309/06 z dnia 29 czerwca  2006 r.</t>
    </r>
  </si>
  <si>
    <r>
      <t>Załącznik nr 4 do Uchwały Rady Powiatu w Olecku Nr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XLIII/309/06</t>
    </r>
    <r>
      <rPr>
        <sz val="8"/>
        <rFont val="Arial CE"/>
        <family val="2"/>
      </rPr>
      <t xml:space="preserve"> z dn. 29 czerwca 2006r.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</si>
</sst>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49" fontId="0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wrapText="1"/>
    </xf>
    <xf numFmtId="0" fontId="4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9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10" fontId="0" fillId="0" borderId="5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10" fillId="2" borderId="1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Font="1" applyAlignment="1">
      <alignment horizontal="center" shrinkToFit="1"/>
    </xf>
    <xf numFmtId="0" fontId="0" fillId="0" borderId="26" xfId="0" applyFont="1" applyBorder="1" applyAlignment="1">
      <alignment horizontal="right" wrapText="1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41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4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0" fontId="7" fillId="0" borderId="21" xfId="0" applyNumberFormat="1" applyFont="1" applyBorder="1" applyAlignment="1">
      <alignment/>
    </xf>
    <xf numFmtId="10" fontId="7" fillId="0" borderId="45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7" fillId="0" borderId="14" xfId="0" applyNumberFormat="1" applyFont="1" applyBorder="1" applyAlignment="1">
      <alignment/>
    </xf>
    <xf numFmtId="0" fontId="7" fillId="0" borderId="45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8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4" fillId="6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6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6" xfId="0" applyFont="1" applyFill="1" applyBorder="1" applyAlignment="1">
      <alignment/>
    </xf>
    <xf numFmtId="0" fontId="0" fillId="8" borderId="10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/>
    </xf>
    <xf numFmtId="0" fontId="0" fillId="0" borderId="48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49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5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4" xfId="0" applyFont="1" applyBorder="1" applyAlignment="1">
      <alignment wrapText="1"/>
    </xf>
    <xf numFmtId="0" fontId="16" fillId="0" borderId="34" xfId="0" applyFont="1" applyBorder="1" applyAlignment="1">
      <alignment/>
    </xf>
    <xf numFmtId="0" fontId="4" fillId="6" borderId="14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41" fontId="15" fillId="0" borderId="14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4" fillId="3" borderId="9" xfId="0" applyFont="1" applyFill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31" xfId="0" applyFont="1" applyBorder="1" applyAlignment="1">
      <alignment/>
    </xf>
    <xf numFmtId="165" fontId="4" fillId="3" borderId="5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165" fontId="5" fillId="5" borderId="11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wrapText="1"/>
    </xf>
    <xf numFmtId="41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2" fontId="9" fillId="6" borderId="1" xfId="0" applyNumberFormat="1" applyFont="1" applyFill="1" applyBorder="1" applyAlignment="1">
      <alignment/>
    </xf>
    <xf numFmtId="10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48" xfId="0" applyNumberFormat="1" applyFont="1" applyBorder="1" applyAlignment="1">
      <alignment/>
    </xf>
    <xf numFmtId="0" fontId="9" fillId="0" borderId="3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31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9" fillId="6" borderId="48" xfId="0" applyNumberFormat="1" applyFont="1" applyFill="1" applyBorder="1" applyAlignment="1">
      <alignment/>
    </xf>
    <xf numFmtId="0" fontId="7" fillId="0" borderId="3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6" borderId="48" xfId="0" applyNumberFormat="1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7" fillId="6" borderId="31" xfId="0" applyFont="1" applyFill="1" applyBorder="1" applyAlignment="1">
      <alignment/>
    </xf>
    <xf numFmtId="0" fontId="7" fillId="6" borderId="5" xfId="0" applyNumberFormat="1" applyFont="1" applyFill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7" fillId="6" borderId="32" xfId="0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9" fillId="10" borderId="48" xfId="0" applyNumberFormat="1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/>
    </xf>
    <xf numFmtId="0" fontId="9" fillId="10" borderId="31" xfId="0" applyFont="1" applyFill="1" applyBorder="1" applyAlignment="1">
      <alignment/>
    </xf>
    <xf numFmtId="0" fontId="9" fillId="10" borderId="32" xfId="0" applyFont="1" applyFill="1" applyBorder="1" applyAlignment="1">
      <alignment/>
    </xf>
    <xf numFmtId="0" fontId="9" fillId="10" borderId="1" xfId="0" applyFont="1" applyFill="1" applyBorder="1" applyAlignment="1">
      <alignment horizontal="left"/>
    </xf>
    <xf numFmtId="0" fontId="9" fillId="10" borderId="31" xfId="0" applyNumberFormat="1" applyFont="1" applyFill="1" applyBorder="1" applyAlignment="1">
      <alignment/>
    </xf>
    <xf numFmtId="0" fontId="9" fillId="10" borderId="32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 wrapText="1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51" xfId="0" applyBorder="1" applyAlignment="1">
      <alignment horizontal="right"/>
    </xf>
    <xf numFmtId="0" fontId="0" fillId="0" borderId="8" xfId="0" applyNumberForma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54" xfId="0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8" xfId="0" applyNumberFormat="1" applyBorder="1" applyAlignment="1">
      <alignment wrapText="1"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1" xfId="0" applyFont="1" applyFill="1" applyBorder="1" applyAlignment="1">
      <alignment horizontal="center"/>
    </xf>
    <xf numFmtId="49" fontId="7" fillId="7" borderId="11" xfId="0" applyNumberFormat="1" applyFont="1" applyFill="1" applyBorder="1" applyAlignment="1">
      <alignment wrapText="1"/>
    </xf>
    <xf numFmtId="0" fontId="4" fillId="7" borderId="54" xfId="0" applyFont="1" applyFill="1" applyBorder="1" applyAlignment="1">
      <alignment horizontal="center"/>
    </xf>
    <xf numFmtId="0" fontId="9" fillId="2" borderId="48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/>
    </xf>
    <xf numFmtId="165" fontId="4" fillId="3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65" fontId="0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11" fillId="8" borderId="55" xfId="0" applyFont="1" applyFill="1" applyBorder="1" applyAlignment="1">
      <alignment/>
    </xf>
    <xf numFmtId="0" fontId="0" fillId="8" borderId="55" xfId="0" applyFill="1" applyBorder="1" applyAlignment="1">
      <alignment/>
    </xf>
    <xf numFmtId="165" fontId="8" fillId="8" borderId="55" xfId="0" applyNumberFormat="1" applyFont="1" applyFill="1" applyBorder="1" applyAlignment="1">
      <alignment/>
    </xf>
    <xf numFmtId="164" fontId="8" fillId="8" borderId="55" xfId="0" applyNumberFormat="1" applyFont="1" applyFill="1" applyBorder="1" applyAlignment="1">
      <alignment/>
    </xf>
    <xf numFmtId="2" fontId="4" fillId="8" borderId="55" xfId="0" applyNumberFormat="1" applyFont="1" applyFill="1" applyBorder="1" applyAlignment="1">
      <alignment/>
    </xf>
    <xf numFmtId="10" fontId="4" fillId="8" borderId="55" xfId="0" applyNumberFormat="1" applyFont="1" applyFill="1" applyBorder="1" applyAlignment="1">
      <alignment/>
    </xf>
    <xf numFmtId="0" fontId="4" fillId="8" borderId="55" xfId="0" applyFont="1" applyFill="1" applyBorder="1" applyAlignment="1">
      <alignment/>
    </xf>
    <xf numFmtId="0" fontId="4" fillId="8" borderId="55" xfId="0" applyNumberFormat="1" applyFont="1" applyFill="1" applyBorder="1" applyAlignment="1">
      <alignment/>
    </xf>
    <xf numFmtId="0" fontId="4" fillId="8" borderId="21" xfId="0" applyNumberFormat="1" applyFont="1" applyFill="1" applyBorder="1" applyAlignment="1">
      <alignment/>
    </xf>
    <xf numFmtId="0" fontId="10" fillId="2" borderId="5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5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63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31" xfId="0" applyNumberFormat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0" fillId="0" borderId="31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64" xfId="0" applyBorder="1" applyAlignment="1">
      <alignment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12" fillId="9" borderId="26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6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50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0" borderId="5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64" xfId="0" applyFont="1" applyFill="1" applyBorder="1" applyAlignment="1">
      <alignment horizontal="center" wrapText="1"/>
    </xf>
    <xf numFmtId="0" fontId="4" fillId="2" borderId="71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6"/>
  <sheetViews>
    <sheetView workbookViewId="0" topLeftCell="B1">
      <selection activeCell="Y6" sqref="Y6"/>
    </sheetView>
  </sheetViews>
  <sheetFormatPr defaultColWidth="9.00390625" defaultRowHeight="12.75"/>
  <cols>
    <col min="1" max="1" width="4.375" style="85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58" customFormat="1" ht="15.75" customHeight="1">
      <c r="A1" s="166"/>
      <c r="C1" s="503" t="s">
        <v>773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</row>
    <row r="2" spans="1:22" s="158" customFormat="1" ht="12.75" customHeight="1">
      <c r="A2" s="166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</row>
    <row r="3" spans="1:22" s="158" customFormat="1" ht="23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s="262" customFormat="1" ht="24" customHeight="1">
      <c r="A4" s="265" t="s">
        <v>62</v>
      </c>
      <c r="B4" s="264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1:22" s="158" customFormat="1" ht="8.2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1:22" s="158" customFormat="1" ht="13.5" customHeight="1">
      <c r="A6" s="490" t="s">
        <v>624</v>
      </c>
      <c r="B6" s="492" t="s">
        <v>232</v>
      </c>
      <c r="C6" s="492" t="s">
        <v>571</v>
      </c>
      <c r="D6" s="492"/>
      <c r="E6" s="492"/>
      <c r="F6" s="279"/>
      <c r="G6" s="279"/>
      <c r="H6" s="279"/>
      <c r="I6" s="279"/>
      <c r="J6" s="278"/>
      <c r="K6" s="280"/>
      <c r="L6" s="280"/>
      <c r="M6" s="492" t="s">
        <v>627</v>
      </c>
      <c r="N6" s="494" t="s">
        <v>90</v>
      </c>
      <c r="O6" s="494"/>
      <c r="P6" s="495" t="s">
        <v>134</v>
      </c>
      <c r="Q6" s="497" t="s">
        <v>223</v>
      </c>
      <c r="R6" s="497" t="s">
        <v>224</v>
      </c>
      <c r="S6" s="495" t="s">
        <v>646</v>
      </c>
      <c r="T6" s="487" t="s">
        <v>223</v>
      </c>
      <c r="U6" s="500" t="s">
        <v>224</v>
      </c>
      <c r="V6" s="500" t="s">
        <v>35</v>
      </c>
    </row>
    <row r="7" spans="1:23" s="158" customFormat="1" ht="18.75" customHeight="1">
      <c r="A7" s="491"/>
      <c r="B7" s="493"/>
      <c r="C7" s="493"/>
      <c r="D7" s="493"/>
      <c r="E7" s="493"/>
      <c r="F7" s="499" t="s">
        <v>734</v>
      </c>
      <c r="G7" s="496" t="s">
        <v>237</v>
      </c>
      <c r="H7" s="496" t="s">
        <v>735</v>
      </c>
      <c r="I7" s="161" t="s">
        <v>736</v>
      </c>
      <c r="J7" s="159"/>
      <c r="K7" s="496" t="s">
        <v>737</v>
      </c>
      <c r="L7" s="496" t="s">
        <v>738</v>
      </c>
      <c r="M7" s="493"/>
      <c r="N7" s="496" t="s">
        <v>88</v>
      </c>
      <c r="O7" s="496" t="s">
        <v>89</v>
      </c>
      <c r="P7" s="496"/>
      <c r="Q7" s="498"/>
      <c r="R7" s="498"/>
      <c r="S7" s="496"/>
      <c r="T7" s="488"/>
      <c r="U7" s="501"/>
      <c r="V7" s="501"/>
      <c r="W7" s="297"/>
    </row>
    <row r="8" spans="1:23" s="158" customFormat="1" ht="7.5" customHeight="1">
      <c r="A8" s="491"/>
      <c r="B8" s="493"/>
      <c r="C8" s="493"/>
      <c r="D8" s="493"/>
      <c r="E8" s="493"/>
      <c r="F8" s="499"/>
      <c r="G8" s="496"/>
      <c r="H8" s="496"/>
      <c r="I8" s="496" t="s">
        <v>739</v>
      </c>
      <c r="J8" s="162"/>
      <c r="K8" s="496"/>
      <c r="L8" s="496"/>
      <c r="M8" s="493"/>
      <c r="N8" s="496"/>
      <c r="O8" s="496"/>
      <c r="P8" s="496"/>
      <c r="Q8" s="498"/>
      <c r="R8" s="498"/>
      <c r="S8" s="496"/>
      <c r="T8" s="488"/>
      <c r="U8" s="501"/>
      <c r="V8" s="501"/>
      <c r="W8" s="297"/>
    </row>
    <row r="9" spans="1:22" s="297" customFormat="1" ht="19.5" customHeight="1" thickBot="1">
      <c r="A9" s="491"/>
      <c r="B9" s="159" t="s">
        <v>740</v>
      </c>
      <c r="C9" s="159" t="s">
        <v>741</v>
      </c>
      <c r="D9" s="163" t="s">
        <v>577</v>
      </c>
      <c r="E9" s="159" t="s">
        <v>234</v>
      </c>
      <c r="F9" s="499"/>
      <c r="G9" s="496"/>
      <c r="H9" s="496"/>
      <c r="I9" s="496"/>
      <c r="J9" s="164"/>
      <c r="K9" s="496"/>
      <c r="L9" s="496"/>
      <c r="M9" s="493"/>
      <c r="N9" s="496"/>
      <c r="O9" s="496"/>
      <c r="P9" s="496"/>
      <c r="Q9" s="498"/>
      <c r="R9" s="498"/>
      <c r="S9" s="496"/>
      <c r="T9" s="489"/>
      <c r="U9" s="502"/>
      <c r="V9" s="501"/>
    </row>
    <row r="10" spans="1:22" s="297" customFormat="1" ht="12.75">
      <c r="A10" s="281">
        <v>1</v>
      </c>
      <c r="B10" s="282">
        <v>2</v>
      </c>
      <c r="C10" s="282">
        <v>3</v>
      </c>
      <c r="D10" s="282">
        <v>4</v>
      </c>
      <c r="E10" s="282">
        <v>5</v>
      </c>
      <c r="F10" s="282">
        <v>6</v>
      </c>
      <c r="G10" s="282">
        <v>6</v>
      </c>
      <c r="H10" s="282">
        <v>8</v>
      </c>
      <c r="I10" s="282">
        <v>9</v>
      </c>
      <c r="J10" s="160"/>
      <c r="K10" s="282">
        <v>7</v>
      </c>
      <c r="L10" s="282">
        <v>8</v>
      </c>
      <c r="M10" s="282">
        <v>6</v>
      </c>
      <c r="N10" s="282">
        <v>7</v>
      </c>
      <c r="O10" s="282">
        <v>8</v>
      </c>
      <c r="P10" s="282">
        <v>6</v>
      </c>
      <c r="Q10" s="282">
        <v>7</v>
      </c>
      <c r="R10" s="282">
        <v>8</v>
      </c>
      <c r="S10" s="282">
        <v>7</v>
      </c>
      <c r="T10" s="299"/>
      <c r="U10" s="299"/>
      <c r="V10" s="403"/>
    </row>
    <row r="11" spans="1:27" ht="17.25" customHeight="1">
      <c r="A11" s="283" t="s">
        <v>636</v>
      </c>
      <c r="B11" s="218" t="s">
        <v>742</v>
      </c>
      <c r="C11" s="267" t="s">
        <v>243</v>
      </c>
      <c r="D11" s="270"/>
      <c r="E11" s="353"/>
      <c r="F11" s="354" t="e">
        <f>F12+#REF!</f>
        <v>#REF!</v>
      </c>
      <c r="G11" s="355" t="e">
        <f>G12+#REF!</f>
        <v>#REF!</v>
      </c>
      <c r="H11" s="356" t="e">
        <f>IF(F11&gt;0,G11/F11*100,"")</f>
        <v>#REF!</v>
      </c>
      <c r="I11" s="357" t="e">
        <f>F11/F74</f>
        <v>#REF!</v>
      </c>
      <c r="J11" s="358"/>
      <c r="K11" s="358" t="e">
        <f>K12+#REF!</f>
        <v>#REF!</v>
      </c>
      <c r="L11" s="358" t="e">
        <f>L12+#REF!</f>
        <v>#REF!</v>
      </c>
      <c r="M11" s="359" t="e">
        <f>M12+#REF!+#REF!</f>
        <v>#REF!</v>
      </c>
      <c r="N11" s="359" t="e">
        <f>N12+#REF!+#REF!</f>
        <v>#REF!</v>
      </c>
      <c r="O11" s="359" t="e">
        <f>O12+#REF!+#REF!</f>
        <v>#REF!</v>
      </c>
      <c r="P11" s="359" t="e">
        <f>P12+#REF!+#REF!</f>
        <v>#REF!</v>
      </c>
      <c r="Q11" s="359" t="e">
        <f>Q12+#REF!+#REF!</f>
        <v>#REF!</v>
      </c>
      <c r="R11" s="359" t="e">
        <f>R12+#REF!+#REF!</f>
        <v>#REF!</v>
      </c>
      <c r="S11" s="359">
        <f>S12+S14+S16</f>
        <v>90400</v>
      </c>
      <c r="T11" s="359">
        <f>T12+T14+T16</f>
        <v>0</v>
      </c>
      <c r="U11" s="401">
        <f>U12+U14+U16</f>
        <v>0</v>
      </c>
      <c r="V11" s="404">
        <f>V12+V14+V16</f>
        <v>90400</v>
      </c>
      <c r="W11" s="36"/>
      <c r="X11" s="36"/>
      <c r="Y11" s="36"/>
      <c r="Z11" s="36"/>
      <c r="AA11" s="36"/>
    </row>
    <row r="12" spans="1:22" ht="27.75" customHeight="1">
      <c r="A12" s="284" t="s">
        <v>743</v>
      </c>
      <c r="B12" s="418" t="s">
        <v>583</v>
      </c>
      <c r="C12" s="419"/>
      <c r="D12" s="417" t="s">
        <v>289</v>
      </c>
      <c r="E12" s="413"/>
      <c r="F12" s="409">
        <v>0</v>
      </c>
      <c r="G12" s="410">
        <v>37400</v>
      </c>
      <c r="H12" s="411">
        <f>IF(F12&gt;0,G12/F12*100,"")</f>
      </c>
      <c r="I12" s="412">
        <f>F12/F74</f>
        <v>0</v>
      </c>
      <c r="J12" s="413"/>
      <c r="K12" s="413">
        <v>0</v>
      </c>
      <c r="L12" s="413">
        <v>0</v>
      </c>
      <c r="M12" s="413">
        <v>44000</v>
      </c>
      <c r="N12" s="413">
        <v>0</v>
      </c>
      <c r="O12" s="413">
        <v>0</v>
      </c>
      <c r="P12" s="413">
        <v>45000</v>
      </c>
      <c r="Q12" s="413">
        <v>0</v>
      </c>
      <c r="R12" s="413">
        <v>0</v>
      </c>
      <c r="S12" s="413">
        <f>S13</f>
        <v>30000</v>
      </c>
      <c r="T12" s="413">
        <f>T13</f>
        <v>0</v>
      </c>
      <c r="U12" s="420">
        <f>U13</f>
        <v>0</v>
      </c>
      <c r="V12" s="421">
        <f>V13</f>
        <v>30000</v>
      </c>
    </row>
    <row r="13" spans="1:22" ht="21" customHeight="1">
      <c r="A13" s="284"/>
      <c r="B13" s="129" t="s">
        <v>98</v>
      </c>
      <c r="C13" s="15"/>
      <c r="D13" s="15"/>
      <c r="E13" s="364">
        <v>2110</v>
      </c>
      <c r="F13" s="360"/>
      <c r="G13" s="361"/>
      <c r="H13" s="362"/>
      <c r="I13" s="363"/>
      <c r="J13" s="251"/>
      <c r="K13" s="251"/>
      <c r="L13" s="251"/>
      <c r="M13" s="251"/>
      <c r="N13" s="251"/>
      <c r="O13" s="251"/>
      <c r="P13" s="251"/>
      <c r="Q13" s="251"/>
      <c r="R13" s="251"/>
      <c r="S13" s="251">
        <v>30000</v>
      </c>
      <c r="T13" s="253">
        <v>0</v>
      </c>
      <c r="U13" s="253">
        <v>0</v>
      </c>
      <c r="V13" s="405">
        <f>S13+T13-U13</f>
        <v>30000</v>
      </c>
    </row>
    <row r="14" spans="1:22" ht="15" customHeight="1">
      <c r="A14" s="284" t="s">
        <v>747</v>
      </c>
      <c r="B14" s="415" t="s">
        <v>358</v>
      </c>
      <c r="C14" s="417"/>
      <c r="D14" s="417" t="s">
        <v>359</v>
      </c>
      <c r="E14" s="422"/>
      <c r="F14" s="409"/>
      <c r="G14" s="410"/>
      <c r="H14" s="411"/>
      <c r="I14" s="412"/>
      <c r="J14" s="413"/>
      <c r="K14" s="413"/>
      <c r="L14" s="413"/>
      <c r="M14" s="413"/>
      <c r="N14" s="413"/>
      <c r="O14" s="413"/>
      <c r="P14" s="413"/>
      <c r="Q14" s="413"/>
      <c r="R14" s="413"/>
      <c r="S14" s="413">
        <f>S15</f>
        <v>60000</v>
      </c>
      <c r="T14" s="413">
        <f>T15</f>
        <v>0</v>
      </c>
      <c r="U14" s="420">
        <f>U15</f>
        <v>0</v>
      </c>
      <c r="V14" s="421">
        <f>V15</f>
        <v>60000</v>
      </c>
    </row>
    <row r="15" spans="1:22" ht="21" customHeight="1">
      <c r="A15" s="284"/>
      <c r="B15" s="129" t="s">
        <v>360</v>
      </c>
      <c r="C15" s="15"/>
      <c r="D15" s="15"/>
      <c r="E15" s="364">
        <v>6260</v>
      </c>
      <c r="F15" s="360"/>
      <c r="G15" s="361"/>
      <c r="H15" s="362"/>
      <c r="I15" s="363"/>
      <c r="J15" s="251"/>
      <c r="K15" s="251"/>
      <c r="L15" s="251"/>
      <c r="M15" s="251"/>
      <c r="N15" s="251"/>
      <c r="O15" s="251"/>
      <c r="P15" s="251"/>
      <c r="Q15" s="251"/>
      <c r="R15" s="251"/>
      <c r="S15" s="251">
        <v>60000</v>
      </c>
      <c r="T15" s="253">
        <v>0</v>
      </c>
      <c r="U15" s="253"/>
      <c r="V15" s="405">
        <f>S15+T15-U15</f>
        <v>60000</v>
      </c>
    </row>
    <row r="16" spans="1:22" s="87" customFormat="1" ht="17.25" customHeight="1">
      <c r="A16" s="284" t="s">
        <v>9</v>
      </c>
      <c r="B16" s="415" t="s">
        <v>344</v>
      </c>
      <c r="C16" s="407"/>
      <c r="D16" s="407" t="s">
        <v>748</v>
      </c>
      <c r="E16" s="408"/>
      <c r="F16" s="409">
        <f>F17</f>
        <v>400</v>
      </c>
      <c r="G16" s="410">
        <f>G17</f>
        <v>400</v>
      </c>
      <c r="H16" s="411">
        <f>IF(F16&gt;0,G16/F16*100,"")</f>
        <v>100</v>
      </c>
      <c r="I16" s="412" t="e">
        <f>F16/F180</f>
        <v>#REF!</v>
      </c>
      <c r="J16" s="413"/>
      <c r="K16" s="413">
        <f aca="true" t="shared" si="0" ref="K16:V16">K17</f>
        <v>0</v>
      </c>
      <c r="L16" s="413">
        <f t="shared" si="0"/>
        <v>0</v>
      </c>
      <c r="M16" s="413">
        <f t="shared" si="0"/>
        <v>300</v>
      </c>
      <c r="N16" s="413">
        <f t="shared" si="0"/>
        <v>0</v>
      </c>
      <c r="O16" s="413">
        <f t="shared" si="0"/>
        <v>0</v>
      </c>
      <c r="P16" s="416">
        <f t="shared" si="0"/>
        <v>600</v>
      </c>
      <c r="Q16" s="416">
        <f t="shared" si="0"/>
        <v>0</v>
      </c>
      <c r="R16" s="416">
        <f t="shared" si="0"/>
        <v>0</v>
      </c>
      <c r="S16" s="416">
        <f t="shared" si="0"/>
        <v>400</v>
      </c>
      <c r="T16" s="416">
        <f t="shared" si="0"/>
        <v>0</v>
      </c>
      <c r="U16" s="423">
        <f t="shared" si="0"/>
        <v>0</v>
      </c>
      <c r="V16" s="424">
        <f t="shared" si="0"/>
        <v>400</v>
      </c>
    </row>
    <row r="17" spans="1:22" ht="19.5" customHeight="1" thickBot="1">
      <c r="A17" s="126"/>
      <c r="B17" s="130" t="s">
        <v>749</v>
      </c>
      <c r="C17" s="15"/>
      <c r="D17" s="15"/>
      <c r="E17" s="367" t="s">
        <v>136</v>
      </c>
      <c r="F17" s="360">
        <v>400</v>
      </c>
      <c r="G17" s="361">
        <v>400</v>
      </c>
      <c r="H17" s="362">
        <f>IF(F17&gt;0,G17/F17*100,"")</f>
        <v>100</v>
      </c>
      <c r="I17" s="363" t="e">
        <f>F17/F180</f>
        <v>#REF!</v>
      </c>
      <c r="J17" s="251"/>
      <c r="K17" s="251">
        <v>0</v>
      </c>
      <c r="L17" s="251">
        <v>0</v>
      </c>
      <c r="M17" s="251">
        <v>300</v>
      </c>
      <c r="N17" s="251">
        <v>0</v>
      </c>
      <c r="O17" s="251">
        <v>0</v>
      </c>
      <c r="P17" s="251">
        <v>600</v>
      </c>
      <c r="Q17" s="251">
        <v>0</v>
      </c>
      <c r="R17" s="251">
        <v>0</v>
      </c>
      <c r="S17" s="251">
        <v>400</v>
      </c>
      <c r="T17" s="251">
        <v>0</v>
      </c>
      <c r="U17" s="253">
        <v>0</v>
      </c>
      <c r="V17" s="233">
        <v>400</v>
      </c>
    </row>
    <row r="18" spans="1:22" s="165" customFormat="1" ht="15.75" customHeight="1">
      <c r="A18" s="283" t="s">
        <v>637</v>
      </c>
      <c r="B18" s="266" t="s">
        <v>16</v>
      </c>
      <c r="C18" s="267" t="s">
        <v>290</v>
      </c>
      <c r="D18" s="267"/>
      <c r="E18" s="369"/>
      <c r="F18" s="359"/>
      <c r="G18" s="359"/>
      <c r="H18" s="370"/>
      <c r="I18" s="370"/>
      <c r="J18" s="359"/>
      <c r="K18" s="359"/>
      <c r="L18" s="359"/>
      <c r="M18" s="359"/>
      <c r="N18" s="359"/>
      <c r="O18" s="359"/>
      <c r="P18" s="371"/>
      <c r="Q18" s="371"/>
      <c r="R18" s="371"/>
      <c r="S18" s="371">
        <f aca="true" t="shared" si="1" ref="S18:V19">S19</f>
        <v>141159</v>
      </c>
      <c r="T18" s="371">
        <f t="shared" si="1"/>
        <v>0</v>
      </c>
      <c r="U18" s="371">
        <f t="shared" si="1"/>
        <v>0</v>
      </c>
      <c r="V18" s="402">
        <f t="shared" si="1"/>
        <v>141159</v>
      </c>
    </row>
    <row r="19" spans="1:22" s="287" customFormat="1" ht="15.75" customHeight="1">
      <c r="A19" s="286" t="s">
        <v>743</v>
      </c>
      <c r="B19" s="415" t="s">
        <v>131</v>
      </c>
      <c r="C19" s="407"/>
      <c r="D19" s="407" t="s">
        <v>132</v>
      </c>
      <c r="E19" s="408"/>
      <c r="F19" s="413"/>
      <c r="G19" s="413"/>
      <c r="H19" s="411"/>
      <c r="I19" s="411"/>
      <c r="J19" s="413"/>
      <c r="K19" s="413"/>
      <c r="L19" s="413"/>
      <c r="M19" s="413"/>
      <c r="N19" s="413"/>
      <c r="O19" s="413"/>
      <c r="P19" s="416"/>
      <c r="Q19" s="416"/>
      <c r="R19" s="416"/>
      <c r="S19" s="416">
        <f t="shared" si="1"/>
        <v>141159</v>
      </c>
      <c r="T19" s="416">
        <f t="shared" si="1"/>
        <v>0</v>
      </c>
      <c r="U19" s="416">
        <f t="shared" si="1"/>
        <v>0</v>
      </c>
      <c r="V19" s="416">
        <f t="shared" si="1"/>
        <v>141159</v>
      </c>
    </row>
    <row r="20" spans="1:22" s="165" customFormat="1" ht="24" customHeight="1">
      <c r="A20" s="288"/>
      <c r="B20" s="250" t="s">
        <v>591</v>
      </c>
      <c r="C20" s="289"/>
      <c r="D20" s="289"/>
      <c r="E20" s="372" t="s">
        <v>143</v>
      </c>
      <c r="F20" s="374"/>
      <c r="G20" s="374"/>
      <c r="H20" s="375"/>
      <c r="I20" s="375"/>
      <c r="J20" s="374"/>
      <c r="K20" s="374"/>
      <c r="L20" s="374"/>
      <c r="M20" s="374"/>
      <c r="N20" s="374"/>
      <c r="O20" s="374"/>
      <c r="P20" s="376"/>
      <c r="Q20" s="376"/>
      <c r="R20" s="376"/>
      <c r="S20" s="373">
        <v>141159</v>
      </c>
      <c r="T20" s="377"/>
      <c r="U20" s="377"/>
      <c r="V20" s="365">
        <f>S20+T20+-U20</f>
        <v>141159</v>
      </c>
    </row>
    <row r="21" spans="1:22" ht="18" customHeight="1">
      <c r="A21" s="283" t="s">
        <v>639</v>
      </c>
      <c r="B21" s="218" t="s">
        <v>750</v>
      </c>
      <c r="C21" s="267" t="s">
        <v>294</v>
      </c>
      <c r="D21" s="267"/>
      <c r="E21" s="369"/>
      <c r="F21" s="378" t="e">
        <f>F22</f>
        <v>#REF!</v>
      </c>
      <c r="G21" s="379" t="e">
        <f>G22</f>
        <v>#REF!</v>
      </c>
      <c r="H21" s="370" t="e">
        <f>IF(F21&gt;0,G21/F21*100,"")</f>
        <v>#REF!</v>
      </c>
      <c r="I21" s="380" t="e">
        <f>F21/F180</f>
        <v>#REF!</v>
      </c>
      <c r="J21" s="359"/>
      <c r="K21" s="359" t="e">
        <f aca="true" t="shared" si="2" ref="K21:V21">K22</f>
        <v>#REF!</v>
      </c>
      <c r="L21" s="359" t="e">
        <f t="shared" si="2"/>
        <v>#REF!</v>
      </c>
      <c r="M21" s="359" t="e">
        <f t="shared" si="2"/>
        <v>#REF!</v>
      </c>
      <c r="N21" s="359" t="e">
        <f t="shared" si="2"/>
        <v>#REF!</v>
      </c>
      <c r="O21" s="359" t="e">
        <f t="shared" si="2"/>
        <v>#REF!</v>
      </c>
      <c r="P21" s="371" t="e">
        <f t="shared" si="2"/>
        <v>#REF!</v>
      </c>
      <c r="Q21" s="371" t="e">
        <f t="shared" si="2"/>
        <v>#REF!</v>
      </c>
      <c r="R21" s="371" t="e">
        <f t="shared" si="2"/>
        <v>#REF!</v>
      </c>
      <c r="S21" s="371">
        <f t="shared" si="2"/>
        <v>4606514</v>
      </c>
      <c r="T21" s="371">
        <f t="shared" si="2"/>
        <v>0</v>
      </c>
      <c r="U21" s="371">
        <f t="shared" si="2"/>
        <v>0</v>
      </c>
      <c r="V21" s="371">
        <f t="shared" si="2"/>
        <v>4606514</v>
      </c>
    </row>
    <row r="22" spans="1:22" s="87" customFormat="1" ht="18.75" customHeight="1">
      <c r="A22" s="284" t="s">
        <v>743</v>
      </c>
      <c r="B22" s="406" t="s">
        <v>211</v>
      </c>
      <c r="C22" s="407"/>
      <c r="D22" s="407" t="s">
        <v>296</v>
      </c>
      <c r="E22" s="408"/>
      <c r="F22" s="409" t="e">
        <f>F25+F28+#REF!</f>
        <v>#REF!</v>
      </c>
      <c r="G22" s="410" t="e">
        <f>G25+G28+#REF!+G29</f>
        <v>#REF!</v>
      </c>
      <c r="H22" s="411" t="e">
        <f>IF(F22&gt;0,G22/F22*100,"")</f>
        <v>#REF!</v>
      </c>
      <c r="I22" s="412" t="e">
        <f>F22/F180</f>
        <v>#REF!</v>
      </c>
      <c r="J22" s="413"/>
      <c r="K22" s="413" t="e">
        <f>K25+K28+#REF!+K29</f>
        <v>#REF!</v>
      </c>
      <c r="L22" s="413" t="e">
        <f>L25+L28+#REF!+L29</f>
        <v>#REF!</v>
      </c>
      <c r="M22" s="413" t="e">
        <f>M25+M28+#REF!+M29</f>
        <v>#REF!</v>
      </c>
      <c r="N22" s="413" t="e">
        <f>N25+N28+#REF!+N29</f>
        <v>#REF!</v>
      </c>
      <c r="O22" s="413" t="e">
        <f>O25+O28+#REF!+O29</f>
        <v>#REF!</v>
      </c>
      <c r="P22" s="416" t="e">
        <f>P25+P28+#REF!+P29+P24</f>
        <v>#REF!</v>
      </c>
      <c r="Q22" s="416" t="e">
        <f>Q25+Q28+#REF!+Q29+Q24</f>
        <v>#REF!</v>
      </c>
      <c r="R22" s="416" t="e">
        <f>R25+R28+#REF!+R29+R24</f>
        <v>#REF!</v>
      </c>
      <c r="S22" s="416">
        <f>S23+S24+S25+S26+S27+S28+S29+S30+S31+S32+S33</f>
        <v>4606514</v>
      </c>
      <c r="T22" s="416">
        <f>T23+T24+T25+T26+T27+T28+T29+T30+T31+T32+T33</f>
        <v>0</v>
      </c>
      <c r="U22" s="416">
        <f>U23+U24+U25+U26+U27+U28+U29+U30+U31+U32+U33</f>
        <v>0</v>
      </c>
      <c r="V22" s="416">
        <f>V23+V24+V25+V26+V27+V28+V29+V30+V31+V32+V33</f>
        <v>4606514</v>
      </c>
    </row>
    <row r="23" spans="1:22" ht="23.25" customHeight="1">
      <c r="A23" s="126"/>
      <c r="B23" s="129" t="s">
        <v>645</v>
      </c>
      <c r="C23" s="24"/>
      <c r="D23" s="24"/>
      <c r="E23" s="367" t="s">
        <v>644</v>
      </c>
      <c r="F23" s="381"/>
      <c r="G23" s="382"/>
      <c r="H23" s="383"/>
      <c r="I23" s="384"/>
      <c r="J23" s="256"/>
      <c r="K23" s="256"/>
      <c r="L23" s="256"/>
      <c r="M23" s="256"/>
      <c r="N23" s="256"/>
      <c r="O23" s="256"/>
      <c r="P23" s="385"/>
      <c r="Q23" s="385"/>
      <c r="R23" s="385"/>
      <c r="S23" s="368">
        <v>0</v>
      </c>
      <c r="T23" s="366"/>
      <c r="U23" s="366"/>
      <c r="V23" s="365">
        <f>S23+T23+-U23</f>
        <v>0</v>
      </c>
    </row>
    <row r="24" spans="1:22" ht="14.25" customHeight="1">
      <c r="A24" s="126"/>
      <c r="B24" s="130" t="s">
        <v>749</v>
      </c>
      <c r="C24" s="24"/>
      <c r="D24" s="24"/>
      <c r="E24" s="367" t="s">
        <v>136</v>
      </c>
      <c r="F24" s="360"/>
      <c r="G24" s="361"/>
      <c r="H24" s="362"/>
      <c r="I24" s="363"/>
      <c r="J24" s="251"/>
      <c r="K24" s="251"/>
      <c r="L24" s="251"/>
      <c r="M24" s="251"/>
      <c r="N24" s="251"/>
      <c r="O24" s="251"/>
      <c r="P24" s="368">
        <v>200</v>
      </c>
      <c r="Q24" s="368">
        <v>0</v>
      </c>
      <c r="R24" s="368">
        <v>0</v>
      </c>
      <c r="S24" s="251">
        <v>0</v>
      </c>
      <c r="T24" s="253"/>
      <c r="U24" s="253"/>
      <c r="V24" s="365">
        <f aca="true" t="shared" si="3" ref="V24:V33">S24+T24+-U24</f>
        <v>0</v>
      </c>
    </row>
    <row r="25" spans="1:22" ht="22.5" customHeight="1">
      <c r="A25" s="126"/>
      <c r="B25" s="129" t="s">
        <v>751</v>
      </c>
      <c r="C25" s="15"/>
      <c r="D25" s="15"/>
      <c r="E25" s="367" t="s">
        <v>137</v>
      </c>
      <c r="F25" s="360">
        <v>17000</v>
      </c>
      <c r="G25" s="361">
        <v>18200</v>
      </c>
      <c r="H25" s="362">
        <f>IF(F25&gt;0,G25/F25*100,"")</f>
        <v>107.05882352941177</v>
      </c>
      <c r="I25" s="363" t="e">
        <f>F25/F180</f>
        <v>#REF!</v>
      </c>
      <c r="J25" s="251"/>
      <c r="K25" s="251">
        <v>0</v>
      </c>
      <c r="L25" s="251">
        <v>0</v>
      </c>
      <c r="M25" s="251">
        <v>1747</v>
      </c>
      <c r="N25" s="251">
        <v>0</v>
      </c>
      <c r="O25" s="251">
        <v>0</v>
      </c>
      <c r="P25" s="251">
        <v>2617</v>
      </c>
      <c r="Q25" s="251">
        <v>0</v>
      </c>
      <c r="R25" s="251">
        <v>0</v>
      </c>
      <c r="S25" s="251">
        <v>4216</v>
      </c>
      <c r="T25" s="253">
        <v>0</v>
      </c>
      <c r="U25" s="253"/>
      <c r="V25" s="365">
        <f t="shared" si="3"/>
        <v>4216</v>
      </c>
    </row>
    <row r="26" spans="1:22" ht="17.25" customHeight="1">
      <c r="A26" s="126"/>
      <c r="B26" s="129" t="s">
        <v>534</v>
      </c>
      <c r="C26" s="15"/>
      <c r="D26" s="15"/>
      <c r="E26" s="367" t="s">
        <v>533</v>
      </c>
      <c r="F26" s="360"/>
      <c r="G26" s="361"/>
      <c r="H26" s="362"/>
      <c r="I26" s="363"/>
      <c r="J26" s="251"/>
      <c r="K26" s="251"/>
      <c r="L26" s="251"/>
      <c r="M26" s="251"/>
      <c r="N26" s="251"/>
      <c r="O26" s="251"/>
      <c r="P26" s="251"/>
      <c r="Q26" s="251"/>
      <c r="R26" s="251"/>
      <c r="S26" s="251">
        <v>5572</v>
      </c>
      <c r="T26" s="253">
        <v>0</v>
      </c>
      <c r="U26" s="253"/>
      <c r="V26" s="365">
        <f t="shared" si="3"/>
        <v>5572</v>
      </c>
    </row>
    <row r="27" spans="1:22" ht="16.5" customHeight="1">
      <c r="A27" s="126"/>
      <c r="B27" s="129" t="s">
        <v>745</v>
      </c>
      <c r="C27" s="15"/>
      <c r="D27" s="15"/>
      <c r="E27" s="367" t="s">
        <v>135</v>
      </c>
      <c r="F27" s="360"/>
      <c r="G27" s="361"/>
      <c r="H27" s="362"/>
      <c r="I27" s="363"/>
      <c r="J27" s="251"/>
      <c r="K27" s="251"/>
      <c r="L27" s="251"/>
      <c r="M27" s="251"/>
      <c r="N27" s="251"/>
      <c r="O27" s="251"/>
      <c r="P27" s="251"/>
      <c r="Q27" s="251"/>
      <c r="R27" s="251"/>
      <c r="S27" s="251">
        <v>212</v>
      </c>
      <c r="T27" s="253">
        <v>0</v>
      </c>
      <c r="U27" s="253"/>
      <c r="V27" s="365">
        <f t="shared" si="3"/>
        <v>212</v>
      </c>
    </row>
    <row r="28" spans="1:22" ht="13.5" customHeight="1">
      <c r="A28" s="126"/>
      <c r="B28" s="130" t="s">
        <v>769</v>
      </c>
      <c r="C28" s="15"/>
      <c r="D28" s="15"/>
      <c r="E28" s="367" t="s">
        <v>139</v>
      </c>
      <c r="F28" s="360">
        <v>18000</v>
      </c>
      <c r="G28" s="361">
        <v>9400</v>
      </c>
      <c r="H28" s="362">
        <f>IF(F28&gt;0,G28/F28*100,"")</f>
        <v>52.22222222222223</v>
      </c>
      <c r="I28" s="363" t="e">
        <f>F28/F180</f>
        <v>#REF!</v>
      </c>
      <c r="J28" s="251"/>
      <c r="K28" s="251">
        <v>0</v>
      </c>
      <c r="L28" s="251">
        <v>0</v>
      </c>
      <c r="M28" s="251">
        <v>7749</v>
      </c>
      <c r="N28" s="251">
        <v>0</v>
      </c>
      <c r="O28" s="251">
        <v>0</v>
      </c>
      <c r="P28" s="251">
        <v>1700</v>
      </c>
      <c r="Q28" s="251">
        <v>0</v>
      </c>
      <c r="R28" s="251">
        <v>0</v>
      </c>
      <c r="S28" s="251">
        <v>0</v>
      </c>
      <c r="T28" s="253"/>
      <c r="U28" s="253"/>
      <c r="V28" s="365">
        <f t="shared" si="3"/>
        <v>0</v>
      </c>
    </row>
    <row r="29" spans="1:22" ht="21.75" customHeight="1">
      <c r="A29" s="126"/>
      <c r="B29" s="129" t="s">
        <v>362</v>
      </c>
      <c r="C29" s="15"/>
      <c r="D29" s="15"/>
      <c r="E29" s="367" t="s">
        <v>361</v>
      </c>
      <c r="F29" s="360"/>
      <c r="G29" s="361">
        <v>0</v>
      </c>
      <c r="H29" s="362"/>
      <c r="I29" s="363"/>
      <c r="J29" s="251"/>
      <c r="K29" s="251">
        <v>0</v>
      </c>
      <c r="L29" s="251">
        <v>0</v>
      </c>
      <c r="M29" s="251">
        <v>7304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3">
        <v>0</v>
      </c>
      <c r="U29" s="253"/>
      <c r="V29" s="365">
        <f>S29+T29-U29</f>
        <v>0</v>
      </c>
    </row>
    <row r="30" spans="1:22" ht="24.75" customHeight="1">
      <c r="A30" s="284"/>
      <c r="B30" s="275" t="s">
        <v>190</v>
      </c>
      <c r="C30" s="28"/>
      <c r="D30" s="28"/>
      <c r="E30" s="367" t="s">
        <v>650</v>
      </c>
      <c r="F30" s="251"/>
      <c r="G30" s="251"/>
      <c r="H30" s="362"/>
      <c r="I30" s="362"/>
      <c r="J30" s="251"/>
      <c r="K30" s="251"/>
      <c r="L30" s="251"/>
      <c r="M30" s="251"/>
      <c r="N30" s="251"/>
      <c r="O30" s="251"/>
      <c r="P30" s="368"/>
      <c r="Q30" s="368"/>
      <c r="R30" s="368"/>
      <c r="S30" s="368">
        <v>3899087</v>
      </c>
      <c r="T30" s="366">
        <v>0</v>
      </c>
      <c r="U30" s="366"/>
      <c r="V30" s="365">
        <f t="shared" si="3"/>
        <v>3899087</v>
      </c>
    </row>
    <row r="31" spans="1:22" ht="24" customHeight="1">
      <c r="A31" s="284"/>
      <c r="B31" s="275" t="s">
        <v>191</v>
      </c>
      <c r="C31" s="28"/>
      <c r="D31" s="28"/>
      <c r="E31" s="367" t="s">
        <v>119</v>
      </c>
      <c r="F31" s="251"/>
      <c r="G31" s="251"/>
      <c r="H31" s="362"/>
      <c r="I31" s="362"/>
      <c r="J31" s="251"/>
      <c r="K31" s="251"/>
      <c r="L31" s="251"/>
      <c r="M31" s="251"/>
      <c r="N31" s="251"/>
      <c r="O31" s="251"/>
      <c r="P31" s="368"/>
      <c r="Q31" s="368"/>
      <c r="R31" s="368"/>
      <c r="S31" s="368">
        <v>527427</v>
      </c>
      <c r="T31" s="366">
        <v>0</v>
      </c>
      <c r="U31" s="386"/>
      <c r="V31" s="365">
        <f t="shared" si="3"/>
        <v>527427</v>
      </c>
    </row>
    <row r="32" spans="1:22" ht="25.5" customHeight="1">
      <c r="A32" s="285"/>
      <c r="B32" s="129" t="s">
        <v>64</v>
      </c>
      <c r="C32" s="30"/>
      <c r="D32" s="47"/>
      <c r="E32" s="364">
        <v>6610</v>
      </c>
      <c r="F32" s="381"/>
      <c r="G32" s="382"/>
      <c r="H32" s="383"/>
      <c r="I32" s="384"/>
      <c r="J32" s="256"/>
      <c r="K32" s="256"/>
      <c r="L32" s="256"/>
      <c r="M32" s="256"/>
      <c r="N32" s="256"/>
      <c r="O32" s="256"/>
      <c r="P32" s="251">
        <v>60000</v>
      </c>
      <c r="Q32" s="251">
        <v>0</v>
      </c>
      <c r="R32" s="251">
        <v>0</v>
      </c>
      <c r="S32" s="387">
        <v>100000</v>
      </c>
      <c r="T32" s="388">
        <v>0</v>
      </c>
      <c r="U32" s="388"/>
      <c r="V32" s="365">
        <f t="shared" si="3"/>
        <v>100000</v>
      </c>
    </row>
    <row r="33" spans="1:22" ht="25.5" customHeight="1">
      <c r="A33" s="285"/>
      <c r="B33" s="129" t="s">
        <v>64</v>
      </c>
      <c r="C33" s="30"/>
      <c r="D33" s="47"/>
      <c r="E33" s="364">
        <v>6619</v>
      </c>
      <c r="F33" s="381"/>
      <c r="G33" s="382"/>
      <c r="H33" s="383"/>
      <c r="I33" s="384"/>
      <c r="J33" s="256"/>
      <c r="K33" s="256"/>
      <c r="L33" s="256"/>
      <c r="M33" s="256"/>
      <c r="N33" s="256"/>
      <c r="O33" s="256"/>
      <c r="P33" s="251"/>
      <c r="Q33" s="251"/>
      <c r="R33" s="251"/>
      <c r="S33" s="387">
        <v>70000</v>
      </c>
      <c r="T33" s="388"/>
      <c r="U33" s="388"/>
      <c r="V33" s="365">
        <f t="shared" si="3"/>
        <v>70000</v>
      </c>
    </row>
    <row r="34" spans="1:22" ht="25.5">
      <c r="A34" s="283" t="s">
        <v>641</v>
      </c>
      <c r="B34" s="266" t="s">
        <v>753</v>
      </c>
      <c r="C34" s="267" t="s">
        <v>308</v>
      </c>
      <c r="D34" s="269"/>
      <c r="E34" s="389"/>
      <c r="F34" s="354">
        <f>F35</f>
        <v>576998</v>
      </c>
      <c r="G34" s="379">
        <f>G35</f>
        <v>906816</v>
      </c>
      <c r="H34" s="370">
        <f>IF(F34&gt;0,G34/F34*100,"")</f>
        <v>157.1610300209013</v>
      </c>
      <c r="I34" s="380" t="e">
        <f>F34/F180</f>
        <v>#REF!</v>
      </c>
      <c r="J34" s="359"/>
      <c r="K34" s="359">
        <f aca="true" t="shared" si="4" ref="K34:R34">K35</f>
        <v>0</v>
      </c>
      <c r="L34" s="359">
        <f t="shared" si="4"/>
        <v>200000</v>
      </c>
      <c r="M34" s="359" t="e">
        <f t="shared" si="4"/>
        <v>#REF!</v>
      </c>
      <c r="N34" s="359" t="e">
        <f t="shared" si="4"/>
        <v>#REF!</v>
      </c>
      <c r="O34" s="359" t="e">
        <f t="shared" si="4"/>
        <v>#REF!</v>
      </c>
      <c r="P34" s="371" t="e">
        <f t="shared" si="4"/>
        <v>#REF!</v>
      </c>
      <c r="Q34" s="371" t="e">
        <f t="shared" si="4"/>
        <v>#REF!</v>
      </c>
      <c r="R34" s="371" t="e">
        <f t="shared" si="4"/>
        <v>#REF!</v>
      </c>
      <c r="S34" s="371">
        <f>S35</f>
        <v>1513890</v>
      </c>
      <c r="T34" s="371">
        <f>T35</f>
        <v>0</v>
      </c>
      <c r="U34" s="371">
        <f>U35</f>
        <v>0</v>
      </c>
      <c r="V34" s="371">
        <f>V35</f>
        <v>1513890</v>
      </c>
    </row>
    <row r="35" spans="1:22" ht="26.25" customHeight="1">
      <c r="A35" s="285" t="s">
        <v>743</v>
      </c>
      <c r="B35" s="415" t="s">
        <v>754</v>
      </c>
      <c r="C35" s="407"/>
      <c r="D35" s="407" t="s">
        <v>310</v>
      </c>
      <c r="E35" s="408"/>
      <c r="F35" s="409">
        <f>F38+F40</f>
        <v>576998</v>
      </c>
      <c r="G35" s="410">
        <f>G38+G40+G39</f>
        <v>906816</v>
      </c>
      <c r="H35" s="411">
        <f>IF(F35&gt;0,G35/F35*100,"")</f>
        <v>157.1610300209013</v>
      </c>
      <c r="I35" s="412" t="e">
        <f>F35/F180</f>
        <v>#REF!</v>
      </c>
      <c r="J35" s="413"/>
      <c r="K35" s="413">
        <f>K38+K40+K39</f>
        <v>0</v>
      </c>
      <c r="L35" s="413">
        <f>L38+L40+L39</f>
        <v>200000</v>
      </c>
      <c r="M35" s="413" t="e">
        <f>M38+M39+M40+#REF!+M37</f>
        <v>#REF!</v>
      </c>
      <c r="N35" s="413" t="e">
        <f>N38+N39+N40+#REF!+N37</f>
        <v>#REF!</v>
      </c>
      <c r="O35" s="413" t="e">
        <f>O38+O39+O40+#REF!+O37</f>
        <v>#REF!</v>
      </c>
      <c r="P35" s="416" t="e">
        <f>P38+P39+P40+#REF!+P37+P36</f>
        <v>#REF!</v>
      </c>
      <c r="Q35" s="416" t="e">
        <f>Q38+Q39+Q40+#REF!+Q37+Q36</f>
        <v>#REF!</v>
      </c>
      <c r="R35" s="416" t="e">
        <f>R38+R39+R40+#REF!+R37+R36</f>
        <v>#REF!</v>
      </c>
      <c r="S35" s="416">
        <f>S36+S37+S38+S39+S40+S41</f>
        <v>1513890</v>
      </c>
      <c r="T35" s="416">
        <f>T36+T37+T38+T39+T40+T41</f>
        <v>0</v>
      </c>
      <c r="U35" s="416">
        <f>U36+U37+U38+U39+U40+U41</f>
        <v>0</v>
      </c>
      <c r="V35" s="416">
        <f>V36+V37+V38+V39+V40+V41</f>
        <v>1513890</v>
      </c>
    </row>
    <row r="36" spans="1:22" ht="18.75" customHeight="1">
      <c r="A36" s="285"/>
      <c r="B36" s="130" t="s">
        <v>749</v>
      </c>
      <c r="C36" s="24"/>
      <c r="D36" s="28"/>
      <c r="E36" s="367" t="s">
        <v>136</v>
      </c>
      <c r="F36" s="360"/>
      <c r="G36" s="361"/>
      <c r="H36" s="362"/>
      <c r="I36" s="363"/>
      <c r="J36" s="251"/>
      <c r="K36" s="251"/>
      <c r="L36" s="251"/>
      <c r="M36" s="251"/>
      <c r="N36" s="251"/>
      <c r="O36" s="251"/>
      <c r="P36" s="368">
        <v>26</v>
      </c>
      <c r="Q36" s="368">
        <v>0</v>
      </c>
      <c r="R36" s="368">
        <v>0</v>
      </c>
      <c r="S36" s="251">
        <v>26</v>
      </c>
      <c r="T36" s="253"/>
      <c r="U36" s="253"/>
      <c r="V36" s="365">
        <f aca="true" t="shared" si="5" ref="V36:V41">S36+T36-U36</f>
        <v>26</v>
      </c>
    </row>
    <row r="37" spans="1:22" ht="22.5" customHeight="1">
      <c r="A37" s="284"/>
      <c r="B37" s="129" t="s">
        <v>751</v>
      </c>
      <c r="C37" s="28"/>
      <c r="D37" s="28"/>
      <c r="E37" s="367" t="s">
        <v>137</v>
      </c>
      <c r="F37" s="360"/>
      <c r="G37" s="361"/>
      <c r="H37" s="362"/>
      <c r="I37" s="363"/>
      <c r="J37" s="251"/>
      <c r="K37" s="251"/>
      <c r="L37" s="251"/>
      <c r="M37" s="251">
        <v>8213</v>
      </c>
      <c r="N37" s="251">
        <v>0</v>
      </c>
      <c r="O37" s="251">
        <v>0</v>
      </c>
      <c r="P37" s="251">
        <v>9201</v>
      </c>
      <c r="Q37" s="251">
        <v>0</v>
      </c>
      <c r="R37" s="251">
        <v>0</v>
      </c>
      <c r="S37" s="251">
        <v>5350</v>
      </c>
      <c r="T37" s="253"/>
      <c r="U37" s="253"/>
      <c r="V37" s="365">
        <f t="shared" si="5"/>
        <v>5350</v>
      </c>
    </row>
    <row r="38" spans="1:22" ht="17.25" customHeight="1">
      <c r="A38" s="284"/>
      <c r="B38" s="129" t="s">
        <v>534</v>
      </c>
      <c r="C38" s="15"/>
      <c r="D38" s="15"/>
      <c r="E38" s="367" t="s">
        <v>533</v>
      </c>
      <c r="F38" s="360">
        <v>570998</v>
      </c>
      <c r="G38" s="361">
        <v>882016</v>
      </c>
      <c r="H38" s="362">
        <f>IF(F38&gt;0,G38/F38*100,"")</f>
        <v>154.46919253657632</v>
      </c>
      <c r="I38" s="363" t="e">
        <f>F38/F180</f>
        <v>#REF!</v>
      </c>
      <c r="J38" s="251"/>
      <c r="K38" s="251">
        <v>0</v>
      </c>
      <c r="L38" s="251">
        <v>200000</v>
      </c>
      <c r="M38" s="251">
        <v>547167</v>
      </c>
      <c r="N38" s="251">
        <v>0</v>
      </c>
      <c r="O38" s="251">
        <v>0</v>
      </c>
      <c r="P38" s="251">
        <v>425245</v>
      </c>
      <c r="Q38" s="251">
        <v>0</v>
      </c>
      <c r="R38" s="251">
        <v>0</v>
      </c>
      <c r="S38" s="251">
        <v>1409112</v>
      </c>
      <c r="T38" s="253"/>
      <c r="U38" s="253">
        <v>0</v>
      </c>
      <c r="V38" s="365">
        <f t="shared" si="5"/>
        <v>1409112</v>
      </c>
    </row>
    <row r="39" spans="1:22" ht="15.75" customHeight="1">
      <c r="A39" s="284"/>
      <c r="B39" s="129" t="s">
        <v>745</v>
      </c>
      <c r="C39" s="15"/>
      <c r="D39" s="15"/>
      <c r="E39" s="367" t="s">
        <v>135</v>
      </c>
      <c r="F39" s="360"/>
      <c r="G39" s="361">
        <v>7000</v>
      </c>
      <c r="H39" s="362"/>
      <c r="I39" s="363"/>
      <c r="J39" s="251"/>
      <c r="K39" s="251">
        <v>0</v>
      </c>
      <c r="L39" s="251">
        <v>0</v>
      </c>
      <c r="M39" s="251">
        <v>800</v>
      </c>
      <c r="N39" s="251">
        <v>0</v>
      </c>
      <c r="O39" s="251">
        <v>0</v>
      </c>
      <c r="P39" s="251">
        <v>4899</v>
      </c>
      <c r="Q39" s="251">
        <v>0</v>
      </c>
      <c r="R39" s="251">
        <v>0</v>
      </c>
      <c r="S39" s="251">
        <v>2750</v>
      </c>
      <c r="T39" s="253"/>
      <c r="U39" s="253"/>
      <c r="V39" s="365">
        <f t="shared" si="5"/>
        <v>2750</v>
      </c>
    </row>
    <row r="40" spans="1:22" ht="16.5" customHeight="1">
      <c r="A40" s="285"/>
      <c r="B40" s="129" t="s">
        <v>769</v>
      </c>
      <c r="C40" s="15"/>
      <c r="D40" s="15"/>
      <c r="E40" s="367" t="s">
        <v>139</v>
      </c>
      <c r="F40" s="360">
        <v>6000</v>
      </c>
      <c r="G40" s="361">
        <v>17800</v>
      </c>
      <c r="H40" s="362">
        <f>IF(F40&gt;0,G40/F40*100,"")</f>
        <v>296.6666666666667</v>
      </c>
      <c r="I40" s="363" t="e">
        <f>F40/F180</f>
        <v>#REF!</v>
      </c>
      <c r="J40" s="251"/>
      <c r="K40" s="251">
        <v>0</v>
      </c>
      <c r="L40" s="251">
        <v>0</v>
      </c>
      <c r="M40" s="251">
        <v>9000</v>
      </c>
      <c r="N40" s="251">
        <v>0</v>
      </c>
      <c r="O40" s="251">
        <v>0</v>
      </c>
      <c r="P40" s="251">
        <v>7950</v>
      </c>
      <c r="Q40" s="251">
        <v>0</v>
      </c>
      <c r="R40" s="251">
        <v>0</v>
      </c>
      <c r="S40" s="251">
        <v>34652</v>
      </c>
      <c r="T40" s="253"/>
      <c r="U40" s="253"/>
      <c r="V40" s="365">
        <f t="shared" si="5"/>
        <v>34652</v>
      </c>
    </row>
    <row r="41" spans="1:22" ht="21.75" customHeight="1">
      <c r="A41" s="126"/>
      <c r="B41" s="129" t="s">
        <v>98</v>
      </c>
      <c r="C41" s="30"/>
      <c r="D41" s="30"/>
      <c r="E41" s="364">
        <v>2110</v>
      </c>
      <c r="F41" s="360">
        <v>15000</v>
      </c>
      <c r="G41" s="361">
        <v>37000</v>
      </c>
      <c r="H41" s="362">
        <f>IF(F41&gt;0,G41/F41*100,"")</f>
        <v>246.66666666666669</v>
      </c>
      <c r="I41" s="363" t="e">
        <f>F41/F180</f>
        <v>#REF!</v>
      </c>
      <c r="J41" s="251"/>
      <c r="K41" s="251">
        <v>0</v>
      </c>
      <c r="L41" s="251">
        <v>0</v>
      </c>
      <c r="M41" s="251">
        <v>4000</v>
      </c>
      <c r="N41" s="251">
        <v>0</v>
      </c>
      <c r="O41" s="251">
        <v>0</v>
      </c>
      <c r="P41" s="251">
        <v>22000</v>
      </c>
      <c r="Q41" s="251">
        <v>0</v>
      </c>
      <c r="R41" s="251">
        <v>0</v>
      </c>
      <c r="S41" s="251">
        <v>62000</v>
      </c>
      <c r="T41" s="253"/>
      <c r="U41" s="253"/>
      <c r="V41" s="365">
        <f t="shared" si="5"/>
        <v>62000</v>
      </c>
    </row>
    <row r="42" spans="1:22" ht="14.25" customHeight="1">
      <c r="A42" s="283" t="s">
        <v>643</v>
      </c>
      <c r="B42" s="266" t="s">
        <v>17</v>
      </c>
      <c r="C42" s="270">
        <v>710</v>
      </c>
      <c r="D42" s="270"/>
      <c r="E42" s="353"/>
      <c r="F42" s="354">
        <f>F43+F45+F47</f>
        <v>170602</v>
      </c>
      <c r="G42" s="379">
        <f>G43+G45+G47</f>
        <v>139020</v>
      </c>
      <c r="H42" s="370">
        <f>IF(F42&gt;0,G42/F42*100,"")</f>
        <v>81.48790752746157</v>
      </c>
      <c r="I42" s="380" t="e">
        <f>F42/F180</f>
        <v>#REF!</v>
      </c>
      <c r="J42" s="359"/>
      <c r="K42" s="359">
        <f aca="true" t="shared" si="6" ref="K42:P42">K43+K45+K47</f>
        <v>0</v>
      </c>
      <c r="L42" s="359">
        <f t="shared" si="6"/>
        <v>0</v>
      </c>
      <c r="M42" s="359">
        <f t="shared" si="6"/>
        <v>114563</v>
      </c>
      <c r="N42" s="359">
        <f t="shared" si="6"/>
        <v>0</v>
      </c>
      <c r="O42" s="359">
        <f t="shared" si="6"/>
        <v>0</v>
      </c>
      <c r="P42" s="371">
        <f t="shared" si="6"/>
        <v>137866</v>
      </c>
      <c r="Q42" s="371">
        <f aca="true" t="shared" si="7" ref="Q42:V42">Q43+Q45+Q47</f>
        <v>0</v>
      </c>
      <c r="R42" s="371">
        <f t="shared" si="7"/>
        <v>0</v>
      </c>
      <c r="S42" s="371">
        <f t="shared" si="7"/>
        <v>246547</v>
      </c>
      <c r="T42" s="371">
        <f t="shared" si="7"/>
        <v>0</v>
      </c>
      <c r="U42" s="371">
        <f t="shared" si="7"/>
        <v>0</v>
      </c>
      <c r="V42" s="371">
        <f t="shared" si="7"/>
        <v>246547</v>
      </c>
    </row>
    <row r="43" spans="1:22" ht="26.25" customHeight="1">
      <c r="A43" s="126" t="s">
        <v>743</v>
      </c>
      <c r="B43" s="425" t="s">
        <v>323</v>
      </c>
      <c r="C43" s="419"/>
      <c r="D43" s="419">
        <v>71013</v>
      </c>
      <c r="E43" s="413"/>
      <c r="F43" s="409">
        <v>79900</v>
      </c>
      <c r="G43" s="410">
        <v>52100</v>
      </c>
      <c r="H43" s="411">
        <f>IF(F43&gt;0,G43/F43*100,"")</f>
        <v>65.20650813516896</v>
      </c>
      <c r="I43" s="412" t="e">
        <f>F43/F180</f>
        <v>#REF!</v>
      </c>
      <c r="J43" s="413"/>
      <c r="K43" s="413">
        <v>0</v>
      </c>
      <c r="L43" s="413">
        <v>0</v>
      </c>
      <c r="M43" s="413">
        <v>35000</v>
      </c>
      <c r="N43" s="413">
        <v>0</v>
      </c>
      <c r="O43" s="413">
        <v>0</v>
      </c>
      <c r="P43" s="413">
        <v>52000</v>
      </c>
      <c r="Q43" s="413">
        <v>0</v>
      </c>
      <c r="R43" s="413">
        <v>0</v>
      </c>
      <c r="S43" s="413">
        <f>S44</f>
        <v>40000</v>
      </c>
      <c r="T43" s="413">
        <f>T44</f>
        <v>0</v>
      </c>
      <c r="U43" s="413">
        <f>U44</f>
        <v>0</v>
      </c>
      <c r="V43" s="413">
        <f>V44</f>
        <v>40000</v>
      </c>
    </row>
    <row r="44" spans="1:22" ht="22.5" customHeight="1">
      <c r="A44" s="126"/>
      <c r="B44" s="129" t="s">
        <v>98</v>
      </c>
      <c r="C44" s="30"/>
      <c r="D44" s="30"/>
      <c r="E44" s="364">
        <v>2110</v>
      </c>
      <c r="F44" s="360"/>
      <c r="G44" s="361"/>
      <c r="H44" s="362"/>
      <c r="I44" s="363"/>
      <c r="J44" s="251"/>
      <c r="K44" s="251"/>
      <c r="L44" s="251"/>
      <c r="M44" s="251"/>
      <c r="N44" s="251"/>
      <c r="O44" s="251"/>
      <c r="P44" s="251"/>
      <c r="Q44" s="251"/>
      <c r="R44" s="251"/>
      <c r="S44" s="251">
        <v>40000</v>
      </c>
      <c r="T44" s="253"/>
      <c r="U44" s="253"/>
      <c r="V44" s="365">
        <f>S44+T44-U44</f>
        <v>40000</v>
      </c>
    </row>
    <row r="45" spans="1:22" ht="25.5" customHeight="1">
      <c r="A45" s="126" t="s">
        <v>747</v>
      </c>
      <c r="B45" s="425" t="s">
        <v>325</v>
      </c>
      <c r="C45" s="419"/>
      <c r="D45" s="419">
        <v>71014</v>
      </c>
      <c r="E45" s="413"/>
      <c r="F45" s="409">
        <v>20000</v>
      </c>
      <c r="G45" s="410">
        <v>8000</v>
      </c>
      <c r="H45" s="411">
        <f>IF(F45&gt;0,G45/F45*100,"")</f>
        <v>40</v>
      </c>
      <c r="I45" s="412" t="e">
        <f>F45/F180</f>
        <v>#REF!</v>
      </c>
      <c r="J45" s="413"/>
      <c r="K45" s="413">
        <v>0</v>
      </c>
      <c r="L45" s="413">
        <v>0</v>
      </c>
      <c r="M45" s="413">
        <v>4000</v>
      </c>
      <c r="N45" s="413">
        <v>0</v>
      </c>
      <c r="O45" s="413">
        <v>0</v>
      </c>
      <c r="P45" s="413">
        <v>4000</v>
      </c>
      <c r="Q45" s="413">
        <v>0</v>
      </c>
      <c r="R45" s="413">
        <v>0</v>
      </c>
      <c r="S45" s="413">
        <f>S46</f>
        <v>25000</v>
      </c>
      <c r="T45" s="413">
        <f>T46</f>
        <v>0</v>
      </c>
      <c r="U45" s="413">
        <f>U46</f>
        <v>0</v>
      </c>
      <c r="V45" s="414">
        <f aca="true" t="shared" si="8" ref="V45:V107">S45+T45-U45</f>
        <v>25000</v>
      </c>
    </row>
    <row r="46" spans="1:22" ht="23.25" customHeight="1">
      <c r="A46" s="126"/>
      <c r="B46" s="129" t="s">
        <v>98</v>
      </c>
      <c r="C46" s="30"/>
      <c r="D46" s="30"/>
      <c r="E46" s="364">
        <v>2110</v>
      </c>
      <c r="F46" s="360"/>
      <c r="G46" s="361"/>
      <c r="H46" s="362"/>
      <c r="I46" s="363"/>
      <c r="J46" s="251"/>
      <c r="K46" s="251"/>
      <c r="L46" s="251"/>
      <c r="M46" s="251"/>
      <c r="N46" s="251"/>
      <c r="O46" s="251"/>
      <c r="P46" s="251"/>
      <c r="Q46" s="251"/>
      <c r="R46" s="251"/>
      <c r="S46" s="251">
        <v>25000</v>
      </c>
      <c r="T46" s="253">
        <v>0</v>
      </c>
      <c r="U46" s="253"/>
      <c r="V46" s="365">
        <f t="shared" si="8"/>
        <v>25000</v>
      </c>
    </row>
    <row r="47" spans="1:22" ht="17.25" customHeight="1">
      <c r="A47" s="126" t="s">
        <v>9</v>
      </c>
      <c r="B47" s="425" t="s">
        <v>327</v>
      </c>
      <c r="C47" s="419"/>
      <c r="D47" s="419">
        <v>71015</v>
      </c>
      <c r="E47" s="413"/>
      <c r="F47" s="409">
        <v>70702</v>
      </c>
      <c r="G47" s="410">
        <v>78920</v>
      </c>
      <c r="H47" s="411">
        <f>IF(F47&gt;0,G47/F47*100,"")</f>
        <v>111.62343356623575</v>
      </c>
      <c r="I47" s="412" t="e">
        <f>F47/F180</f>
        <v>#REF!</v>
      </c>
      <c r="J47" s="413"/>
      <c r="K47" s="413">
        <v>0</v>
      </c>
      <c r="L47" s="413">
        <v>0</v>
      </c>
      <c r="M47" s="413">
        <v>75563</v>
      </c>
      <c r="N47" s="413">
        <v>0</v>
      </c>
      <c r="O47" s="413">
        <v>0</v>
      </c>
      <c r="P47" s="413">
        <v>81866</v>
      </c>
      <c r="Q47" s="413">
        <v>0</v>
      </c>
      <c r="R47" s="413">
        <v>0</v>
      </c>
      <c r="S47" s="413">
        <f>S48</f>
        <v>181547</v>
      </c>
      <c r="T47" s="413">
        <f>T48</f>
        <v>0</v>
      </c>
      <c r="U47" s="420"/>
      <c r="V47" s="414">
        <f t="shared" si="8"/>
        <v>181547</v>
      </c>
    </row>
    <row r="48" spans="1:22" ht="21.75" customHeight="1">
      <c r="A48" s="126"/>
      <c r="B48" s="129" t="s">
        <v>98</v>
      </c>
      <c r="C48" s="30"/>
      <c r="D48" s="30"/>
      <c r="E48" s="364">
        <v>2110</v>
      </c>
      <c r="F48" s="360"/>
      <c r="G48" s="361"/>
      <c r="H48" s="362"/>
      <c r="I48" s="363"/>
      <c r="J48" s="251"/>
      <c r="K48" s="251"/>
      <c r="L48" s="251"/>
      <c r="M48" s="251"/>
      <c r="N48" s="251"/>
      <c r="O48" s="251"/>
      <c r="P48" s="251"/>
      <c r="Q48" s="251"/>
      <c r="R48" s="251"/>
      <c r="S48" s="251">
        <v>181547</v>
      </c>
      <c r="T48" s="253"/>
      <c r="U48" s="253"/>
      <c r="V48" s="365">
        <f t="shared" si="8"/>
        <v>181547</v>
      </c>
    </row>
    <row r="49" spans="1:22" ht="16.5" customHeight="1">
      <c r="A49" s="283" t="s">
        <v>676</v>
      </c>
      <c r="B49" s="266" t="s">
        <v>766</v>
      </c>
      <c r="C49" s="270">
        <v>750</v>
      </c>
      <c r="D49" s="270"/>
      <c r="E49" s="391"/>
      <c r="F49" s="378">
        <f>F50+F58</f>
        <v>142453</v>
      </c>
      <c r="G49" s="379">
        <f>G50+G58</f>
        <v>144857</v>
      </c>
      <c r="H49" s="370">
        <f>IF(F49&gt;0,G49/F49*100,"")</f>
        <v>101.68757414726261</v>
      </c>
      <c r="I49" s="380" t="e">
        <f>F49/F180</f>
        <v>#REF!</v>
      </c>
      <c r="J49" s="359"/>
      <c r="K49" s="359">
        <f aca="true" t="shared" si="9" ref="K49:R49">K50+K58</f>
        <v>0</v>
      </c>
      <c r="L49" s="359">
        <f t="shared" si="9"/>
        <v>0</v>
      </c>
      <c r="M49" s="359">
        <f t="shared" si="9"/>
        <v>97055</v>
      </c>
      <c r="N49" s="359">
        <f t="shared" si="9"/>
        <v>0</v>
      </c>
      <c r="O49" s="359">
        <f t="shared" si="9"/>
        <v>0</v>
      </c>
      <c r="P49" s="371">
        <f t="shared" si="9"/>
        <v>103976</v>
      </c>
      <c r="Q49" s="371">
        <f t="shared" si="9"/>
        <v>0</v>
      </c>
      <c r="R49" s="371">
        <f t="shared" si="9"/>
        <v>0</v>
      </c>
      <c r="S49" s="371">
        <f>S50+S52+S58</f>
        <v>840936</v>
      </c>
      <c r="T49" s="371">
        <f>T50+T52+T58</f>
        <v>0</v>
      </c>
      <c r="U49" s="371">
        <f>U50+U52+U58</f>
        <v>0</v>
      </c>
      <c r="V49" s="392">
        <f t="shared" si="8"/>
        <v>840936</v>
      </c>
    </row>
    <row r="50" spans="1:22" ht="18.75" customHeight="1">
      <c r="A50" s="126" t="s">
        <v>743</v>
      </c>
      <c r="B50" s="425" t="s">
        <v>744</v>
      </c>
      <c r="C50" s="419"/>
      <c r="D50" s="419">
        <v>75011</v>
      </c>
      <c r="E50" s="413"/>
      <c r="F50" s="409">
        <v>120453</v>
      </c>
      <c r="G50" s="410">
        <v>120857</v>
      </c>
      <c r="H50" s="411">
        <f>IF(F50&gt;0,G50/F50*100,"")</f>
        <v>100.33540052966717</v>
      </c>
      <c r="I50" s="412" t="e">
        <f>F50/F180</f>
        <v>#REF!</v>
      </c>
      <c r="J50" s="413"/>
      <c r="K50" s="413">
        <v>0</v>
      </c>
      <c r="L50" s="413">
        <v>0</v>
      </c>
      <c r="M50" s="413">
        <v>86463</v>
      </c>
      <c r="N50" s="413">
        <v>0</v>
      </c>
      <c r="O50" s="413">
        <v>0</v>
      </c>
      <c r="P50" s="413">
        <v>89799</v>
      </c>
      <c r="Q50" s="413">
        <v>0</v>
      </c>
      <c r="R50" s="413">
        <v>0</v>
      </c>
      <c r="S50" s="413">
        <f>S51</f>
        <v>102748</v>
      </c>
      <c r="T50" s="413">
        <f>T51</f>
        <v>0</v>
      </c>
      <c r="U50" s="413">
        <f>U51</f>
        <v>0</v>
      </c>
      <c r="V50" s="414">
        <f t="shared" si="8"/>
        <v>102748</v>
      </c>
    </row>
    <row r="51" spans="1:22" ht="21.75" customHeight="1">
      <c r="A51" s="126"/>
      <c r="B51" s="129" t="s">
        <v>98</v>
      </c>
      <c r="C51" s="30"/>
      <c r="D51" s="30"/>
      <c r="E51" s="364">
        <v>2110</v>
      </c>
      <c r="F51" s="360"/>
      <c r="G51" s="361"/>
      <c r="H51" s="362"/>
      <c r="I51" s="363"/>
      <c r="J51" s="251"/>
      <c r="K51" s="251"/>
      <c r="L51" s="251"/>
      <c r="M51" s="251"/>
      <c r="N51" s="251"/>
      <c r="O51" s="251"/>
      <c r="P51" s="251"/>
      <c r="Q51" s="251"/>
      <c r="R51" s="251"/>
      <c r="S51" s="251">
        <v>102748</v>
      </c>
      <c r="T51" s="253"/>
      <c r="U51" s="253"/>
      <c r="V51" s="365">
        <f t="shared" si="8"/>
        <v>102748</v>
      </c>
    </row>
    <row r="52" spans="1:22" s="87" customFormat="1" ht="15.75" customHeight="1">
      <c r="A52" s="284" t="s">
        <v>747</v>
      </c>
      <c r="B52" s="406" t="s">
        <v>767</v>
      </c>
      <c r="C52" s="426"/>
      <c r="D52" s="426">
        <v>75020</v>
      </c>
      <c r="E52" s="422"/>
      <c r="F52" s="409" t="e">
        <f>F53+F54+F55+#REF!+F56+F57</f>
        <v>#REF!</v>
      </c>
      <c r="G52" s="410" t="e">
        <f>G53+G54+G55+#REF!+G56+G57</f>
        <v>#REF!</v>
      </c>
      <c r="H52" s="411" t="e">
        <f aca="true" t="shared" si="10" ref="H52:H58">IF(F52&gt;0,G52/F52*100,"")</f>
        <v>#REF!</v>
      </c>
      <c r="I52" s="412" t="e">
        <f>F52/F180</f>
        <v>#REF!</v>
      </c>
      <c r="J52" s="413"/>
      <c r="K52" s="413" t="e">
        <f>K53+K54+K55+#REF!+K57</f>
        <v>#REF!</v>
      </c>
      <c r="L52" s="413" t="e">
        <f>L53+L54+L55+#REF!+L57</f>
        <v>#REF!</v>
      </c>
      <c r="M52" s="413" t="e">
        <f>M53+M54+M55+#REF!+M57+M56</f>
        <v>#REF!</v>
      </c>
      <c r="N52" s="413" t="e">
        <f>N53+N54+N55+#REF!+N57+N56</f>
        <v>#REF!</v>
      </c>
      <c r="O52" s="413" t="e">
        <f>O53+O54+O55+#REF!+O57+O56</f>
        <v>#REF!</v>
      </c>
      <c r="P52" s="416" t="e">
        <f>P53+P54+P55+#REF!+P57+P56</f>
        <v>#REF!</v>
      </c>
      <c r="Q52" s="416" t="e">
        <f>Q53+Q54+Q55+#REF!+Q57+Q56</f>
        <v>#REF!</v>
      </c>
      <c r="R52" s="416" t="e">
        <f>R53+R54+R55+#REF!+R57+R56</f>
        <v>#REF!</v>
      </c>
      <c r="S52" s="416">
        <f>S53+S54+S55+S56+S57</f>
        <v>725188</v>
      </c>
      <c r="T52" s="416">
        <f>T53+T54+T55+T56+T57</f>
        <v>0</v>
      </c>
      <c r="U52" s="416">
        <f>U53+U54+U55+U56+U57</f>
        <v>0</v>
      </c>
      <c r="V52" s="414">
        <f t="shared" si="8"/>
        <v>725188</v>
      </c>
    </row>
    <row r="53" spans="1:22" ht="17.25" customHeight="1">
      <c r="A53" s="126"/>
      <c r="B53" s="130" t="s">
        <v>768</v>
      </c>
      <c r="C53" s="15"/>
      <c r="D53" s="15"/>
      <c r="E53" s="367" t="s">
        <v>140</v>
      </c>
      <c r="F53" s="360">
        <v>500000</v>
      </c>
      <c r="G53" s="361">
        <v>650000</v>
      </c>
      <c r="H53" s="362">
        <f t="shared" si="10"/>
        <v>130</v>
      </c>
      <c r="I53" s="363" t="e">
        <f>F53/F180</f>
        <v>#REF!</v>
      </c>
      <c r="J53" s="251"/>
      <c r="K53" s="251">
        <v>0</v>
      </c>
      <c r="L53" s="251">
        <v>0</v>
      </c>
      <c r="M53" s="251">
        <v>529000</v>
      </c>
      <c r="N53" s="251">
        <v>0</v>
      </c>
      <c r="O53" s="251">
        <v>0</v>
      </c>
      <c r="P53" s="251">
        <v>523273</v>
      </c>
      <c r="Q53" s="251">
        <v>0</v>
      </c>
      <c r="R53" s="251">
        <v>0</v>
      </c>
      <c r="S53" s="251">
        <v>706800</v>
      </c>
      <c r="T53" s="253"/>
      <c r="U53" s="253">
        <v>0</v>
      </c>
      <c r="V53" s="365">
        <f t="shared" si="8"/>
        <v>706800</v>
      </c>
    </row>
    <row r="54" spans="1:22" ht="15.75" customHeight="1">
      <c r="A54" s="126"/>
      <c r="B54" s="130" t="s">
        <v>749</v>
      </c>
      <c r="C54" s="15"/>
      <c r="D54" s="15"/>
      <c r="E54" s="367" t="s">
        <v>136</v>
      </c>
      <c r="F54" s="360">
        <v>10000</v>
      </c>
      <c r="G54" s="361">
        <v>10000</v>
      </c>
      <c r="H54" s="362">
        <f t="shared" si="10"/>
        <v>100</v>
      </c>
      <c r="I54" s="363" t="e">
        <f>F54/F180</f>
        <v>#REF!</v>
      </c>
      <c r="J54" s="251"/>
      <c r="K54" s="251">
        <v>0</v>
      </c>
      <c r="L54" s="251">
        <v>0</v>
      </c>
      <c r="M54" s="251">
        <v>1800</v>
      </c>
      <c r="N54" s="251">
        <v>0</v>
      </c>
      <c r="O54" s="251">
        <v>0</v>
      </c>
      <c r="P54" s="251">
        <v>1800</v>
      </c>
      <c r="Q54" s="251">
        <v>0</v>
      </c>
      <c r="R54" s="251">
        <v>0</v>
      </c>
      <c r="S54" s="251">
        <v>1450</v>
      </c>
      <c r="T54" s="253"/>
      <c r="U54" s="253"/>
      <c r="V54" s="365">
        <f t="shared" si="8"/>
        <v>1450</v>
      </c>
    </row>
    <row r="55" spans="1:22" ht="21.75" customHeight="1">
      <c r="A55" s="126"/>
      <c r="B55" s="129" t="s">
        <v>751</v>
      </c>
      <c r="C55" s="15"/>
      <c r="D55" s="15"/>
      <c r="E55" s="367" t="s">
        <v>137</v>
      </c>
      <c r="F55" s="360">
        <v>2000</v>
      </c>
      <c r="G55" s="361">
        <v>5000</v>
      </c>
      <c r="H55" s="362">
        <f t="shared" si="10"/>
        <v>250</v>
      </c>
      <c r="I55" s="363" t="e">
        <f>F55/F180</f>
        <v>#REF!</v>
      </c>
      <c r="J55" s="251"/>
      <c r="K55" s="251">
        <v>0</v>
      </c>
      <c r="L55" s="251">
        <v>0</v>
      </c>
      <c r="M55" s="251">
        <v>1070</v>
      </c>
      <c r="N55" s="251">
        <v>0</v>
      </c>
      <c r="O55" s="251">
        <v>0</v>
      </c>
      <c r="P55" s="251">
        <v>676</v>
      </c>
      <c r="Q55" s="251">
        <v>0</v>
      </c>
      <c r="R55" s="251">
        <v>0</v>
      </c>
      <c r="S55" s="251">
        <v>1138</v>
      </c>
      <c r="T55" s="253"/>
      <c r="U55" s="253"/>
      <c r="V55" s="365">
        <f t="shared" si="8"/>
        <v>1138</v>
      </c>
    </row>
    <row r="56" spans="1:22" ht="18" customHeight="1">
      <c r="A56" s="126"/>
      <c r="B56" s="130" t="s">
        <v>752</v>
      </c>
      <c r="C56" s="15"/>
      <c r="D56" s="15"/>
      <c r="E56" s="367" t="s">
        <v>138</v>
      </c>
      <c r="F56" s="360">
        <v>10000</v>
      </c>
      <c r="G56" s="361">
        <v>0</v>
      </c>
      <c r="H56" s="362">
        <f t="shared" si="10"/>
        <v>0</v>
      </c>
      <c r="I56" s="363" t="e">
        <f>F56/F180</f>
        <v>#REF!</v>
      </c>
      <c r="J56" s="251"/>
      <c r="K56" s="251"/>
      <c r="L56" s="251"/>
      <c r="M56" s="251">
        <v>4000</v>
      </c>
      <c r="N56" s="251">
        <v>0</v>
      </c>
      <c r="O56" s="251">
        <v>0</v>
      </c>
      <c r="P56" s="251">
        <v>2785</v>
      </c>
      <c r="Q56" s="251">
        <v>0</v>
      </c>
      <c r="R56" s="251">
        <v>0</v>
      </c>
      <c r="S56" s="251">
        <v>200</v>
      </c>
      <c r="T56" s="253"/>
      <c r="U56" s="253"/>
      <c r="V56" s="365">
        <f t="shared" si="8"/>
        <v>200</v>
      </c>
    </row>
    <row r="57" spans="1:22" ht="19.5" customHeight="1">
      <c r="A57" s="126"/>
      <c r="B57" s="129" t="s">
        <v>769</v>
      </c>
      <c r="C57" s="15"/>
      <c r="D57" s="15"/>
      <c r="E57" s="367" t="s">
        <v>139</v>
      </c>
      <c r="F57" s="360">
        <v>61000</v>
      </c>
      <c r="G57" s="361">
        <v>70000</v>
      </c>
      <c r="H57" s="362">
        <f t="shared" si="10"/>
        <v>114.75409836065573</v>
      </c>
      <c r="I57" s="363" t="e">
        <f>F57/F180</f>
        <v>#REF!</v>
      </c>
      <c r="J57" s="251"/>
      <c r="K57" s="251">
        <v>0</v>
      </c>
      <c r="L57" s="251">
        <v>0</v>
      </c>
      <c r="M57" s="251">
        <v>25000</v>
      </c>
      <c r="N57" s="251">
        <v>0</v>
      </c>
      <c r="O57" s="251">
        <v>0</v>
      </c>
      <c r="P57" s="251">
        <v>7765</v>
      </c>
      <c r="Q57" s="251">
        <v>0</v>
      </c>
      <c r="R57" s="251">
        <v>0</v>
      </c>
      <c r="S57" s="251">
        <v>15600</v>
      </c>
      <c r="T57" s="253"/>
      <c r="U57" s="253"/>
      <c r="V57" s="365">
        <f t="shared" si="8"/>
        <v>15600</v>
      </c>
    </row>
    <row r="58" spans="1:22" ht="18" customHeight="1">
      <c r="A58" s="126" t="s">
        <v>9</v>
      </c>
      <c r="B58" s="425" t="s">
        <v>341</v>
      </c>
      <c r="C58" s="419"/>
      <c r="D58" s="419">
        <v>75045</v>
      </c>
      <c r="E58" s="413"/>
      <c r="F58" s="409">
        <v>22000</v>
      </c>
      <c r="G58" s="410">
        <v>24000</v>
      </c>
      <c r="H58" s="411">
        <f t="shared" si="10"/>
        <v>109.09090909090908</v>
      </c>
      <c r="I58" s="412" t="e">
        <f>F58/F180</f>
        <v>#REF!</v>
      </c>
      <c r="J58" s="413"/>
      <c r="K58" s="413">
        <v>0</v>
      </c>
      <c r="L58" s="413">
        <v>0</v>
      </c>
      <c r="M58" s="413">
        <v>10592</v>
      </c>
      <c r="N58" s="413">
        <v>0</v>
      </c>
      <c r="O58" s="413">
        <v>0</v>
      </c>
      <c r="P58" s="413">
        <v>14177</v>
      </c>
      <c r="Q58" s="413">
        <v>0</v>
      </c>
      <c r="R58" s="413">
        <v>0</v>
      </c>
      <c r="S58" s="413">
        <f>S59</f>
        <v>13000</v>
      </c>
      <c r="T58" s="413">
        <f>T59</f>
        <v>0</v>
      </c>
      <c r="U58" s="413">
        <f>U59</f>
        <v>0</v>
      </c>
      <c r="V58" s="414">
        <f t="shared" si="8"/>
        <v>13000</v>
      </c>
    </row>
    <row r="59" spans="1:22" ht="25.5" customHeight="1">
      <c r="A59" s="126"/>
      <c r="B59" s="129" t="s">
        <v>98</v>
      </c>
      <c r="C59" s="30"/>
      <c r="D59" s="30"/>
      <c r="E59" s="364">
        <v>2110</v>
      </c>
      <c r="F59" s="360"/>
      <c r="G59" s="361"/>
      <c r="H59" s="362"/>
      <c r="I59" s="363"/>
      <c r="J59" s="251"/>
      <c r="K59" s="251"/>
      <c r="L59" s="251"/>
      <c r="M59" s="251"/>
      <c r="N59" s="251"/>
      <c r="O59" s="251"/>
      <c r="P59" s="251"/>
      <c r="Q59" s="251"/>
      <c r="R59" s="251"/>
      <c r="S59" s="251">
        <v>13000</v>
      </c>
      <c r="T59" s="253"/>
      <c r="U59" s="253"/>
      <c r="V59" s="365">
        <f t="shared" si="8"/>
        <v>13000</v>
      </c>
    </row>
    <row r="60" spans="1:22" ht="24.75" customHeight="1">
      <c r="A60" s="283" t="s">
        <v>678</v>
      </c>
      <c r="B60" s="266" t="s">
        <v>0</v>
      </c>
      <c r="C60" s="270">
        <v>754</v>
      </c>
      <c r="D60" s="270"/>
      <c r="E60" s="353"/>
      <c r="F60" s="354" t="e">
        <f>#REF!+F61</f>
        <v>#REF!</v>
      </c>
      <c r="G60" s="379" t="e">
        <f>#REF!+G61</f>
        <v>#REF!</v>
      </c>
      <c r="H60" s="370" t="e">
        <f>IF(F60&gt;0,G60/F60*100,"")</f>
        <v>#REF!</v>
      </c>
      <c r="I60" s="380" t="e">
        <f>F60/F180</f>
        <v>#REF!</v>
      </c>
      <c r="J60" s="359"/>
      <c r="K60" s="359" t="e">
        <f>#REF!+K61</f>
        <v>#REF!</v>
      </c>
      <c r="L60" s="359" t="e">
        <f>#REF!+L61</f>
        <v>#REF!</v>
      </c>
      <c r="M60" s="359" t="e">
        <f>#REF!+M61</f>
        <v>#REF!</v>
      </c>
      <c r="N60" s="359" t="e">
        <f>#REF!+N61</f>
        <v>#REF!</v>
      </c>
      <c r="O60" s="359" t="e">
        <f>#REF!+O61</f>
        <v>#REF!</v>
      </c>
      <c r="P60" s="371" t="e">
        <f>#REF!+P61</f>
        <v>#REF!</v>
      </c>
      <c r="Q60" s="371" t="e">
        <f>#REF!+Q61</f>
        <v>#REF!</v>
      </c>
      <c r="R60" s="371" t="e">
        <f>#REF!+R61</f>
        <v>#REF!</v>
      </c>
      <c r="S60" s="371">
        <f>S61+S65</f>
        <v>2225000</v>
      </c>
      <c r="T60" s="371">
        <f>T61+T65</f>
        <v>0</v>
      </c>
      <c r="U60" s="371">
        <f>U61+U65</f>
        <v>0</v>
      </c>
      <c r="V60" s="392">
        <f t="shared" si="8"/>
        <v>2225000</v>
      </c>
    </row>
    <row r="61" spans="1:22" ht="24" customHeight="1">
      <c r="A61" s="126" t="s">
        <v>743</v>
      </c>
      <c r="B61" s="425" t="s">
        <v>603</v>
      </c>
      <c r="C61" s="419"/>
      <c r="D61" s="419">
        <v>75411</v>
      </c>
      <c r="E61" s="413"/>
      <c r="F61" s="409">
        <v>2662024</v>
      </c>
      <c r="G61" s="410">
        <v>2874880</v>
      </c>
      <c r="H61" s="411">
        <f>IF(F61&gt;0,G61/F61*100,"")</f>
        <v>107.99602107268755</v>
      </c>
      <c r="I61" s="412" t="e">
        <f>F61/F180</f>
        <v>#REF!</v>
      </c>
      <c r="J61" s="413"/>
      <c r="K61" s="413">
        <v>0</v>
      </c>
      <c r="L61" s="413">
        <v>0</v>
      </c>
      <c r="M61" s="413">
        <v>1730000</v>
      </c>
      <c r="N61" s="413">
        <v>0</v>
      </c>
      <c r="O61" s="413">
        <v>0</v>
      </c>
      <c r="P61" s="413">
        <v>1833000</v>
      </c>
      <c r="Q61" s="413">
        <v>0</v>
      </c>
      <c r="R61" s="413">
        <v>0</v>
      </c>
      <c r="S61" s="413">
        <f>S62+S63+S64</f>
        <v>2222000</v>
      </c>
      <c r="T61" s="413">
        <f>T62+T63+T64</f>
        <v>0</v>
      </c>
      <c r="U61" s="413">
        <f>U62+U63+U64</f>
        <v>0</v>
      </c>
      <c r="V61" s="414">
        <f t="shared" si="8"/>
        <v>2222000</v>
      </c>
    </row>
    <row r="62" spans="1:22" ht="24" customHeight="1">
      <c r="A62" s="126"/>
      <c r="B62" s="129" t="s">
        <v>98</v>
      </c>
      <c r="C62" s="30"/>
      <c r="D62" s="30"/>
      <c r="E62" s="364">
        <v>2110</v>
      </c>
      <c r="F62" s="360"/>
      <c r="G62" s="361"/>
      <c r="H62" s="362"/>
      <c r="I62" s="363"/>
      <c r="J62" s="251"/>
      <c r="K62" s="251"/>
      <c r="L62" s="251"/>
      <c r="M62" s="251"/>
      <c r="N62" s="251"/>
      <c r="O62" s="251"/>
      <c r="P62" s="251"/>
      <c r="Q62" s="251"/>
      <c r="R62" s="251"/>
      <c r="S62" s="251">
        <v>2201000</v>
      </c>
      <c r="T62" s="253"/>
      <c r="U62" s="253">
        <v>0</v>
      </c>
      <c r="V62" s="365">
        <f t="shared" si="8"/>
        <v>2201000</v>
      </c>
    </row>
    <row r="63" spans="1:22" ht="30" customHeight="1">
      <c r="A63" s="285"/>
      <c r="B63" s="129" t="s">
        <v>98</v>
      </c>
      <c r="C63" s="30"/>
      <c r="D63" s="19"/>
      <c r="E63" s="364">
        <v>2310</v>
      </c>
      <c r="F63" s="381"/>
      <c r="G63" s="382"/>
      <c r="H63" s="383"/>
      <c r="I63" s="384"/>
      <c r="J63" s="256"/>
      <c r="K63" s="256"/>
      <c r="L63" s="256"/>
      <c r="M63" s="256"/>
      <c r="N63" s="256"/>
      <c r="O63" s="256"/>
      <c r="P63" s="251"/>
      <c r="Q63" s="251"/>
      <c r="R63" s="251"/>
      <c r="S63" s="251">
        <v>1000</v>
      </c>
      <c r="T63" s="253"/>
      <c r="U63" s="253"/>
      <c r="V63" s="365">
        <f t="shared" si="8"/>
        <v>1000</v>
      </c>
    </row>
    <row r="64" spans="1:22" ht="45" customHeight="1">
      <c r="A64" s="285"/>
      <c r="B64" s="129" t="s">
        <v>352</v>
      </c>
      <c r="C64" s="30"/>
      <c r="D64" s="19"/>
      <c r="E64" s="364">
        <v>6630</v>
      </c>
      <c r="F64" s="381"/>
      <c r="G64" s="382"/>
      <c r="H64" s="383"/>
      <c r="I64" s="384"/>
      <c r="J64" s="256"/>
      <c r="K64" s="256"/>
      <c r="L64" s="256"/>
      <c r="M64" s="256"/>
      <c r="N64" s="256"/>
      <c r="O64" s="256"/>
      <c r="P64" s="251"/>
      <c r="Q64" s="251"/>
      <c r="R64" s="251"/>
      <c r="S64" s="251">
        <v>20000</v>
      </c>
      <c r="T64" s="253">
        <v>0</v>
      </c>
      <c r="U64" s="253"/>
      <c r="V64" s="365">
        <f t="shared" si="8"/>
        <v>20000</v>
      </c>
    </row>
    <row r="65" spans="1:22" ht="15.75" customHeight="1">
      <c r="A65" s="126" t="s">
        <v>747</v>
      </c>
      <c r="B65" s="425" t="s">
        <v>465</v>
      </c>
      <c r="C65" s="419"/>
      <c r="D65" s="419">
        <v>75414</v>
      </c>
      <c r="E65" s="413"/>
      <c r="F65" s="409"/>
      <c r="G65" s="410"/>
      <c r="H65" s="411"/>
      <c r="I65" s="412"/>
      <c r="J65" s="413"/>
      <c r="K65" s="413"/>
      <c r="L65" s="413"/>
      <c r="M65" s="413"/>
      <c r="N65" s="413"/>
      <c r="O65" s="413"/>
      <c r="P65" s="413"/>
      <c r="Q65" s="413"/>
      <c r="R65" s="413"/>
      <c r="S65" s="413">
        <f>S73</f>
        <v>3000</v>
      </c>
      <c r="T65" s="413">
        <f>T73</f>
        <v>0</v>
      </c>
      <c r="U65" s="413">
        <f>U73</f>
        <v>0</v>
      </c>
      <c r="V65" s="414">
        <f t="shared" si="8"/>
        <v>3000</v>
      </c>
    </row>
    <row r="66" spans="1:22" ht="21.75" customHeight="1" hidden="1">
      <c r="A66" s="285" t="s">
        <v>747</v>
      </c>
      <c r="B66" s="4" t="s">
        <v>344</v>
      </c>
      <c r="C66" s="24"/>
      <c r="D66" s="24" t="s">
        <v>343</v>
      </c>
      <c r="E66" s="390"/>
      <c r="F66" s="381"/>
      <c r="G66" s="382"/>
      <c r="H66" s="383"/>
      <c r="I66" s="384"/>
      <c r="J66" s="256"/>
      <c r="K66" s="256"/>
      <c r="L66" s="256"/>
      <c r="M66" s="256">
        <f aca="true" t="shared" si="11" ref="M66:R66">M67</f>
        <v>3050</v>
      </c>
      <c r="N66" s="256">
        <f t="shared" si="11"/>
        <v>0</v>
      </c>
      <c r="O66" s="256">
        <f t="shared" si="11"/>
        <v>0</v>
      </c>
      <c r="P66" s="256">
        <f t="shared" si="11"/>
        <v>0</v>
      </c>
      <c r="Q66" s="256">
        <f t="shared" si="11"/>
        <v>0</v>
      </c>
      <c r="R66" s="256">
        <f t="shared" si="11"/>
        <v>0</v>
      </c>
      <c r="S66" s="251"/>
      <c r="T66" s="253"/>
      <c r="U66" s="253"/>
      <c r="V66" s="365">
        <f t="shared" si="8"/>
        <v>0</v>
      </c>
    </row>
    <row r="67" spans="1:22" ht="0.75" customHeight="1" hidden="1">
      <c r="A67" s="126"/>
      <c r="B67" s="9" t="s">
        <v>93</v>
      </c>
      <c r="C67" s="15"/>
      <c r="D67" s="15"/>
      <c r="E67" s="367" t="s">
        <v>92</v>
      </c>
      <c r="F67" s="360"/>
      <c r="G67" s="361"/>
      <c r="H67" s="362"/>
      <c r="I67" s="363"/>
      <c r="J67" s="251"/>
      <c r="K67" s="251"/>
      <c r="L67" s="251"/>
      <c r="M67" s="251">
        <v>3050</v>
      </c>
      <c r="N67" s="251">
        <v>0</v>
      </c>
      <c r="O67" s="251">
        <v>0</v>
      </c>
      <c r="P67" s="251">
        <v>0</v>
      </c>
      <c r="Q67" s="251">
        <v>0</v>
      </c>
      <c r="R67" s="251">
        <v>0</v>
      </c>
      <c r="S67" s="251"/>
      <c r="T67" s="253"/>
      <c r="U67" s="253"/>
      <c r="V67" s="365">
        <f t="shared" si="8"/>
        <v>0</v>
      </c>
    </row>
    <row r="68" spans="1:22" ht="25.5" customHeight="1" hidden="1">
      <c r="A68" s="285" t="s">
        <v>643</v>
      </c>
      <c r="B68" s="4" t="s">
        <v>0</v>
      </c>
      <c r="C68" s="47">
        <v>754</v>
      </c>
      <c r="D68" s="30"/>
      <c r="E68" s="364"/>
      <c r="F68" s="360">
        <f>F69+F71</f>
        <v>18600</v>
      </c>
      <c r="G68" s="382">
        <f>G69+G71</f>
        <v>19700</v>
      </c>
      <c r="H68" s="383">
        <f>IF(F68&gt;0,G68/F68*100,"")</f>
        <v>105.91397849462365</v>
      </c>
      <c r="I68" s="384" t="e">
        <f>F68/F180</f>
        <v>#REF!</v>
      </c>
      <c r="J68" s="256"/>
      <c r="K68" s="256">
        <f aca="true" t="shared" si="12" ref="K68:P68">K69+K71</f>
        <v>0</v>
      </c>
      <c r="L68" s="256">
        <f t="shared" si="12"/>
        <v>0</v>
      </c>
      <c r="M68" s="256">
        <f t="shared" si="12"/>
        <v>6000</v>
      </c>
      <c r="N68" s="256">
        <f t="shared" si="12"/>
        <v>0</v>
      </c>
      <c r="O68" s="256">
        <f t="shared" si="12"/>
        <v>0</v>
      </c>
      <c r="P68" s="385">
        <f t="shared" si="12"/>
        <v>1000</v>
      </c>
      <c r="Q68" s="385">
        <f>Q69+Q71</f>
        <v>0</v>
      </c>
      <c r="R68" s="385">
        <f>R69+R71</f>
        <v>0</v>
      </c>
      <c r="S68" s="385">
        <f>S69+S71</f>
        <v>0</v>
      </c>
      <c r="T68" s="393"/>
      <c r="U68" s="393"/>
      <c r="V68" s="365">
        <f t="shared" si="8"/>
        <v>0</v>
      </c>
    </row>
    <row r="69" spans="1:22" ht="21.75" customHeight="1" hidden="1">
      <c r="A69" s="285" t="s">
        <v>743</v>
      </c>
      <c r="B69" s="7" t="s">
        <v>384</v>
      </c>
      <c r="C69" s="47"/>
      <c r="D69" s="47">
        <v>75405</v>
      </c>
      <c r="E69" s="394"/>
      <c r="F69" s="381">
        <f>F70</f>
        <v>9000</v>
      </c>
      <c r="G69" s="382">
        <f>G70</f>
        <v>9700</v>
      </c>
      <c r="H69" s="383">
        <f>IF(F69&gt;0,G69/F69*100,"")</f>
        <v>107.77777777777777</v>
      </c>
      <c r="I69" s="384" t="e">
        <f>F69/F180</f>
        <v>#REF!</v>
      </c>
      <c r="J69" s="256"/>
      <c r="K69" s="256">
        <f aca="true" t="shared" si="13" ref="K69:R69">K70</f>
        <v>0</v>
      </c>
      <c r="L69" s="256">
        <f t="shared" si="13"/>
        <v>0</v>
      </c>
      <c r="M69" s="256">
        <f t="shared" si="13"/>
        <v>5000</v>
      </c>
      <c r="N69" s="256">
        <f t="shared" si="13"/>
        <v>0</v>
      </c>
      <c r="O69" s="256">
        <f t="shared" si="13"/>
        <v>0</v>
      </c>
      <c r="P69" s="385">
        <f t="shared" si="13"/>
        <v>0</v>
      </c>
      <c r="Q69" s="385">
        <f t="shared" si="13"/>
        <v>0</v>
      </c>
      <c r="R69" s="385">
        <f t="shared" si="13"/>
        <v>0</v>
      </c>
      <c r="S69" s="251"/>
      <c r="T69" s="253"/>
      <c r="U69" s="253"/>
      <c r="V69" s="365">
        <f t="shared" si="8"/>
        <v>0</v>
      </c>
    </row>
    <row r="70" spans="1:22" ht="0.75" customHeight="1" hidden="1">
      <c r="A70" s="126"/>
      <c r="B70" s="9" t="s">
        <v>745</v>
      </c>
      <c r="C70" s="15"/>
      <c r="D70" s="15"/>
      <c r="E70" s="367" t="s">
        <v>746</v>
      </c>
      <c r="F70" s="360">
        <v>9000</v>
      </c>
      <c r="G70" s="361">
        <v>9700</v>
      </c>
      <c r="H70" s="362">
        <f>IF(F70&gt;0,G70/F70*100,"")</f>
        <v>107.77777777777777</v>
      </c>
      <c r="I70" s="363" t="e">
        <f>F70/F180</f>
        <v>#REF!</v>
      </c>
      <c r="J70" s="251"/>
      <c r="K70" s="251">
        <v>0</v>
      </c>
      <c r="L70" s="251">
        <v>0</v>
      </c>
      <c r="M70" s="251">
        <v>5000</v>
      </c>
      <c r="N70" s="251">
        <v>0</v>
      </c>
      <c r="O70" s="251">
        <v>0</v>
      </c>
      <c r="P70" s="251">
        <v>0</v>
      </c>
      <c r="Q70" s="251">
        <v>0</v>
      </c>
      <c r="R70" s="251">
        <v>0</v>
      </c>
      <c r="S70" s="251"/>
      <c r="T70" s="253"/>
      <c r="U70" s="253"/>
      <c r="V70" s="365">
        <f t="shared" si="8"/>
        <v>0</v>
      </c>
    </row>
    <row r="71" spans="1:22" ht="24.75" customHeight="1" hidden="1">
      <c r="A71" s="285" t="s">
        <v>743</v>
      </c>
      <c r="B71" s="4" t="s">
        <v>603</v>
      </c>
      <c r="C71" s="24"/>
      <c r="D71" s="24" t="s">
        <v>400</v>
      </c>
      <c r="E71" s="390"/>
      <c r="F71" s="381">
        <f>F72</f>
        <v>9600</v>
      </c>
      <c r="G71" s="382">
        <f>G72</f>
        <v>10000</v>
      </c>
      <c r="H71" s="383">
        <f>IF(F71&gt;0,G71/F71*100,"")</f>
        <v>104.16666666666667</v>
      </c>
      <c r="I71" s="384" t="e">
        <f>F71/F180</f>
        <v>#REF!</v>
      </c>
      <c r="J71" s="256"/>
      <c r="K71" s="256">
        <f aca="true" t="shared" si="14" ref="K71:S71">K72</f>
        <v>0</v>
      </c>
      <c r="L71" s="256">
        <f t="shared" si="14"/>
        <v>0</v>
      </c>
      <c r="M71" s="256">
        <f t="shared" si="14"/>
        <v>1000</v>
      </c>
      <c r="N71" s="256">
        <f t="shared" si="14"/>
        <v>0</v>
      </c>
      <c r="O71" s="256">
        <f t="shared" si="14"/>
        <v>0</v>
      </c>
      <c r="P71" s="385">
        <f t="shared" si="14"/>
        <v>1000</v>
      </c>
      <c r="Q71" s="385">
        <f t="shared" si="14"/>
        <v>0</v>
      </c>
      <c r="R71" s="385">
        <f t="shared" si="14"/>
        <v>0</v>
      </c>
      <c r="S71" s="385">
        <f t="shared" si="14"/>
        <v>0</v>
      </c>
      <c r="T71" s="393"/>
      <c r="U71" s="393"/>
      <c r="V71" s="365">
        <f t="shared" si="8"/>
        <v>0</v>
      </c>
    </row>
    <row r="72" spans="1:22" ht="13.5" customHeight="1" hidden="1">
      <c r="A72" s="126"/>
      <c r="B72" s="9" t="s">
        <v>745</v>
      </c>
      <c r="C72" s="15"/>
      <c r="D72" s="15"/>
      <c r="E72" s="367" t="s">
        <v>135</v>
      </c>
      <c r="F72" s="360">
        <v>9600</v>
      </c>
      <c r="G72" s="361">
        <v>10000</v>
      </c>
      <c r="H72" s="362">
        <f>IF(F72&gt;0,G72/F72*100,"")</f>
        <v>104.16666666666667</v>
      </c>
      <c r="I72" s="363" t="e">
        <f>F72/F180</f>
        <v>#REF!</v>
      </c>
      <c r="J72" s="251"/>
      <c r="K72" s="251">
        <v>0</v>
      </c>
      <c r="L72" s="251">
        <v>0</v>
      </c>
      <c r="M72" s="251">
        <v>1000</v>
      </c>
      <c r="N72" s="251">
        <v>0</v>
      </c>
      <c r="O72" s="251">
        <v>0</v>
      </c>
      <c r="P72" s="251">
        <v>1000</v>
      </c>
      <c r="Q72" s="251">
        <v>0</v>
      </c>
      <c r="R72" s="251">
        <v>0</v>
      </c>
      <c r="S72" s="251">
        <v>0</v>
      </c>
      <c r="T72" s="253"/>
      <c r="U72" s="253"/>
      <c r="V72" s="365">
        <f t="shared" si="8"/>
        <v>0</v>
      </c>
    </row>
    <row r="73" spans="1:22" ht="21.75" customHeight="1">
      <c r="A73" s="126"/>
      <c r="B73" s="129" t="s">
        <v>98</v>
      </c>
      <c r="C73" s="15"/>
      <c r="D73" s="15"/>
      <c r="E73" s="364">
        <v>2110</v>
      </c>
      <c r="F73" s="360"/>
      <c r="G73" s="361"/>
      <c r="H73" s="362"/>
      <c r="I73" s="363"/>
      <c r="J73" s="251"/>
      <c r="K73" s="251"/>
      <c r="L73" s="251"/>
      <c r="M73" s="251"/>
      <c r="N73" s="251"/>
      <c r="O73" s="251"/>
      <c r="P73" s="251"/>
      <c r="Q73" s="251"/>
      <c r="R73" s="251"/>
      <c r="S73" s="251">
        <v>3000</v>
      </c>
      <c r="T73" s="253"/>
      <c r="U73" s="253"/>
      <c r="V73" s="365">
        <f t="shared" si="8"/>
        <v>3000</v>
      </c>
    </row>
    <row r="74" spans="1:22" ht="35.25" customHeight="1">
      <c r="A74" s="283" t="s">
        <v>661</v>
      </c>
      <c r="B74" s="271" t="s">
        <v>153</v>
      </c>
      <c r="C74" s="267" t="s">
        <v>1</v>
      </c>
      <c r="D74" s="269"/>
      <c r="E74" s="389"/>
      <c r="F74" s="354">
        <f>F75</f>
        <v>285742</v>
      </c>
      <c r="G74" s="379">
        <f>G75</f>
        <v>239445</v>
      </c>
      <c r="H74" s="370">
        <f>IF(F74&gt;0,G74/F74*100,"")</f>
        <v>83.79762163070183</v>
      </c>
      <c r="I74" s="380" t="e">
        <f>F74/F180</f>
        <v>#REF!</v>
      </c>
      <c r="J74" s="359"/>
      <c r="K74" s="359">
        <f aca="true" t="shared" si="15" ref="K74:U75">K75</f>
        <v>0</v>
      </c>
      <c r="L74" s="359">
        <f t="shared" si="15"/>
        <v>0</v>
      </c>
      <c r="M74" s="359">
        <f t="shared" si="15"/>
        <v>134163</v>
      </c>
      <c r="N74" s="359">
        <f t="shared" si="15"/>
        <v>0</v>
      </c>
      <c r="O74" s="359">
        <f t="shared" si="15"/>
        <v>0</v>
      </c>
      <c r="P74" s="371">
        <f t="shared" si="15"/>
        <v>141331</v>
      </c>
      <c r="Q74" s="371">
        <f t="shared" si="15"/>
        <v>0</v>
      </c>
      <c r="R74" s="371">
        <f t="shared" si="15"/>
        <v>0</v>
      </c>
      <c r="S74" s="371">
        <f t="shared" si="15"/>
        <v>2056187</v>
      </c>
      <c r="T74" s="371">
        <f t="shared" si="15"/>
        <v>0</v>
      </c>
      <c r="U74" s="371">
        <f t="shared" si="15"/>
        <v>0</v>
      </c>
      <c r="V74" s="392">
        <f t="shared" si="8"/>
        <v>2056187</v>
      </c>
    </row>
    <row r="75" spans="1:22" s="87" customFormat="1" ht="26.25" customHeight="1">
      <c r="A75" s="284" t="s">
        <v>743</v>
      </c>
      <c r="B75" s="427" t="s">
        <v>151</v>
      </c>
      <c r="C75" s="407"/>
      <c r="D75" s="407" t="s">
        <v>2</v>
      </c>
      <c r="E75" s="408"/>
      <c r="F75" s="409">
        <f>F76</f>
        <v>285742</v>
      </c>
      <c r="G75" s="410">
        <f>G76</f>
        <v>239445</v>
      </c>
      <c r="H75" s="411">
        <f>IF(F75&gt;0,G75/F75*100,"")</f>
        <v>83.79762163070183</v>
      </c>
      <c r="I75" s="412" t="e">
        <f>F75/F180</f>
        <v>#REF!</v>
      </c>
      <c r="J75" s="413"/>
      <c r="K75" s="413">
        <f t="shared" si="15"/>
        <v>0</v>
      </c>
      <c r="L75" s="413">
        <f t="shared" si="15"/>
        <v>0</v>
      </c>
      <c r="M75" s="413">
        <f t="shared" si="15"/>
        <v>134163</v>
      </c>
      <c r="N75" s="413">
        <f t="shared" si="15"/>
        <v>0</v>
      </c>
      <c r="O75" s="413">
        <f t="shared" si="15"/>
        <v>0</v>
      </c>
      <c r="P75" s="416">
        <f t="shared" si="15"/>
        <v>141331</v>
      </c>
      <c r="Q75" s="416">
        <f t="shared" si="15"/>
        <v>0</v>
      </c>
      <c r="R75" s="416">
        <f t="shared" si="15"/>
        <v>0</v>
      </c>
      <c r="S75" s="416">
        <f>S76+S77</f>
        <v>2056187</v>
      </c>
      <c r="T75" s="416">
        <f>T76+T77</f>
        <v>0</v>
      </c>
      <c r="U75" s="416">
        <f>U76+U77</f>
        <v>0</v>
      </c>
      <c r="V75" s="414">
        <f t="shared" si="8"/>
        <v>2056187</v>
      </c>
    </row>
    <row r="76" spans="1:22" ht="17.25" customHeight="1">
      <c r="A76" s="126"/>
      <c r="B76" s="129" t="s">
        <v>152</v>
      </c>
      <c r="C76" s="15"/>
      <c r="D76" s="15"/>
      <c r="E76" s="367" t="s">
        <v>141</v>
      </c>
      <c r="F76" s="360">
        <v>285742</v>
      </c>
      <c r="G76" s="361">
        <v>239445</v>
      </c>
      <c r="H76" s="362">
        <f>IF(F76&gt;0,G76/F76*100,"")</f>
        <v>83.79762163070183</v>
      </c>
      <c r="I76" s="363" t="e">
        <f>F76/F180</f>
        <v>#REF!</v>
      </c>
      <c r="J76" s="251"/>
      <c r="K76" s="251">
        <v>0</v>
      </c>
      <c r="L76" s="251">
        <v>0</v>
      </c>
      <c r="M76" s="251">
        <v>134163</v>
      </c>
      <c r="N76" s="251">
        <v>0</v>
      </c>
      <c r="O76" s="251">
        <v>0</v>
      </c>
      <c r="P76" s="251">
        <v>141331</v>
      </c>
      <c r="Q76" s="251">
        <v>0</v>
      </c>
      <c r="R76" s="251">
        <v>0</v>
      </c>
      <c r="S76" s="251">
        <v>1971187</v>
      </c>
      <c r="T76" s="253">
        <v>0</v>
      </c>
      <c r="U76" s="253"/>
      <c r="V76" s="365">
        <f t="shared" si="8"/>
        <v>1971187</v>
      </c>
    </row>
    <row r="77" spans="1:22" ht="17.25" customHeight="1">
      <c r="A77" s="126"/>
      <c r="B77" s="129" t="s">
        <v>300</v>
      </c>
      <c r="C77" s="15"/>
      <c r="D77" s="15"/>
      <c r="E77" s="367" t="s">
        <v>142</v>
      </c>
      <c r="F77" s="360"/>
      <c r="G77" s="361"/>
      <c r="H77" s="362"/>
      <c r="I77" s="363"/>
      <c r="J77" s="251"/>
      <c r="K77" s="251"/>
      <c r="L77" s="251"/>
      <c r="M77" s="251"/>
      <c r="N77" s="251"/>
      <c r="O77" s="251"/>
      <c r="P77" s="251"/>
      <c r="Q77" s="251"/>
      <c r="R77" s="251"/>
      <c r="S77" s="251">
        <v>85000</v>
      </c>
      <c r="T77" s="253"/>
      <c r="U77" s="253"/>
      <c r="V77" s="365">
        <f t="shared" si="8"/>
        <v>85000</v>
      </c>
    </row>
    <row r="78" spans="1:22" ht="18" customHeight="1">
      <c r="A78" s="283" t="s">
        <v>733</v>
      </c>
      <c r="B78" s="268" t="s">
        <v>3</v>
      </c>
      <c r="C78" s="261">
        <v>758</v>
      </c>
      <c r="D78" s="270"/>
      <c r="E78" s="353"/>
      <c r="F78" s="354">
        <f>F86+F90</f>
        <v>90000</v>
      </c>
      <c r="G78" s="379">
        <f>G90+G86</f>
        <v>100000</v>
      </c>
      <c r="H78" s="370">
        <f>IF(F78&gt;0,G78/F78*100,"")</f>
        <v>111.11111111111111</v>
      </c>
      <c r="I78" s="380" t="e">
        <f>F78/F180</f>
        <v>#REF!</v>
      </c>
      <c r="J78" s="359"/>
      <c r="K78" s="359">
        <f aca="true" t="shared" si="16" ref="K78:R78">K86</f>
        <v>0</v>
      </c>
      <c r="L78" s="359">
        <f t="shared" si="16"/>
        <v>0</v>
      </c>
      <c r="M78" s="359">
        <f t="shared" si="16"/>
        <v>60000</v>
      </c>
      <c r="N78" s="359">
        <f t="shared" si="16"/>
        <v>0</v>
      </c>
      <c r="O78" s="359">
        <f t="shared" si="16"/>
        <v>0</v>
      </c>
      <c r="P78" s="371">
        <f t="shared" si="16"/>
        <v>20000</v>
      </c>
      <c r="Q78" s="371">
        <f t="shared" si="16"/>
        <v>0</v>
      </c>
      <c r="R78" s="371">
        <f t="shared" si="16"/>
        <v>0</v>
      </c>
      <c r="S78" s="371">
        <f>S79+S81+S83+S86+S88</f>
        <v>16372092</v>
      </c>
      <c r="T78" s="371">
        <f>T79+T81+T83+T86+T88</f>
        <v>200000</v>
      </c>
      <c r="U78" s="371">
        <f>U79+U81+U83+U86+U88</f>
        <v>0</v>
      </c>
      <c r="V78" s="395">
        <f t="shared" si="8"/>
        <v>16572092</v>
      </c>
    </row>
    <row r="79" spans="1:22" s="293" customFormat="1" ht="28.5" customHeight="1">
      <c r="A79" s="290" t="s">
        <v>743</v>
      </c>
      <c r="B79" s="415" t="s">
        <v>99</v>
      </c>
      <c r="C79" s="426"/>
      <c r="D79" s="426">
        <v>75801</v>
      </c>
      <c r="E79" s="422"/>
      <c r="F79" s="409"/>
      <c r="G79" s="410"/>
      <c r="H79" s="411"/>
      <c r="I79" s="412"/>
      <c r="J79" s="413"/>
      <c r="K79" s="413"/>
      <c r="L79" s="413"/>
      <c r="M79" s="413"/>
      <c r="N79" s="413"/>
      <c r="O79" s="413"/>
      <c r="P79" s="416"/>
      <c r="Q79" s="416"/>
      <c r="R79" s="416"/>
      <c r="S79" s="416">
        <f>S80</f>
        <v>13235322</v>
      </c>
      <c r="T79" s="416">
        <f>T80</f>
        <v>0</v>
      </c>
      <c r="U79" s="416">
        <f>U80</f>
        <v>0</v>
      </c>
      <c r="V79" s="414">
        <f t="shared" si="8"/>
        <v>13235322</v>
      </c>
    </row>
    <row r="80" spans="1:22" ht="17.25" customHeight="1">
      <c r="A80" s="126"/>
      <c r="B80" s="129" t="s">
        <v>656</v>
      </c>
      <c r="C80" s="30"/>
      <c r="D80" s="30"/>
      <c r="E80" s="367" t="s">
        <v>144</v>
      </c>
      <c r="F80" s="360"/>
      <c r="G80" s="361"/>
      <c r="H80" s="362"/>
      <c r="I80" s="363"/>
      <c r="J80" s="251"/>
      <c r="K80" s="251"/>
      <c r="L80" s="251"/>
      <c r="M80" s="368"/>
      <c r="N80" s="368"/>
      <c r="O80" s="368"/>
      <c r="P80" s="251"/>
      <c r="Q80" s="251"/>
      <c r="R80" s="251"/>
      <c r="S80" s="251">
        <v>13235322</v>
      </c>
      <c r="T80" s="253">
        <v>0</v>
      </c>
      <c r="U80" s="253"/>
      <c r="V80" s="365">
        <f t="shared" si="8"/>
        <v>13235322</v>
      </c>
    </row>
    <row r="81" spans="1:22" ht="24.75" customHeight="1">
      <c r="A81" s="126" t="s">
        <v>747</v>
      </c>
      <c r="B81" s="425" t="s">
        <v>364</v>
      </c>
      <c r="C81" s="419"/>
      <c r="D81" s="419">
        <v>75802</v>
      </c>
      <c r="E81" s="408"/>
      <c r="F81" s="409"/>
      <c r="G81" s="410"/>
      <c r="H81" s="411"/>
      <c r="I81" s="412"/>
      <c r="J81" s="413"/>
      <c r="K81" s="413"/>
      <c r="L81" s="413"/>
      <c r="M81" s="416"/>
      <c r="N81" s="416"/>
      <c r="O81" s="416"/>
      <c r="P81" s="413"/>
      <c r="Q81" s="413"/>
      <c r="R81" s="413"/>
      <c r="S81" s="413">
        <f>S82</f>
        <v>0</v>
      </c>
      <c r="T81" s="413">
        <f>T82</f>
        <v>200000</v>
      </c>
      <c r="U81" s="413">
        <f>U82</f>
        <v>0</v>
      </c>
      <c r="V81" s="414">
        <f t="shared" si="8"/>
        <v>200000</v>
      </c>
    </row>
    <row r="82" spans="1:22" ht="21.75" customHeight="1">
      <c r="A82" s="126"/>
      <c r="B82" s="129" t="s">
        <v>366</v>
      </c>
      <c r="C82" s="30"/>
      <c r="D82" s="30"/>
      <c r="E82" s="367" t="s">
        <v>365</v>
      </c>
      <c r="F82" s="360"/>
      <c r="G82" s="361"/>
      <c r="H82" s="362"/>
      <c r="I82" s="363"/>
      <c r="J82" s="251"/>
      <c r="K82" s="251"/>
      <c r="L82" s="251"/>
      <c r="M82" s="368"/>
      <c r="N82" s="368"/>
      <c r="O82" s="368"/>
      <c r="P82" s="251"/>
      <c r="Q82" s="251"/>
      <c r="R82" s="251"/>
      <c r="S82" s="251">
        <v>0</v>
      </c>
      <c r="T82" s="253">
        <v>200000</v>
      </c>
      <c r="U82" s="253"/>
      <c r="V82" s="365">
        <f t="shared" si="8"/>
        <v>200000</v>
      </c>
    </row>
    <row r="83" spans="1:22" s="293" customFormat="1" ht="26.25" customHeight="1">
      <c r="A83" s="290" t="s">
        <v>9</v>
      </c>
      <c r="B83" s="415" t="s">
        <v>85</v>
      </c>
      <c r="C83" s="426"/>
      <c r="D83" s="426">
        <v>75803</v>
      </c>
      <c r="E83" s="408"/>
      <c r="F83" s="409">
        <v>857613</v>
      </c>
      <c r="G83" s="410">
        <v>912417</v>
      </c>
      <c r="H83" s="411">
        <f>IF(F83&gt;0,G83/F83*100,"")</f>
        <v>106.39029492323459</v>
      </c>
      <c r="I83" s="412" t="e">
        <f>F83/F180</f>
        <v>#REF!</v>
      </c>
      <c r="J83" s="413"/>
      <c r="K83" s="413">
        <v>0</v>
      </c>
      <c r="L83" s="413">
        <v>0</v>
      </c>
      <c r="M83" s="416">
        <v>531382</v>
      </c>
      <c r="N83" s="416">
        <v>0</v>
      </c>
      <c r="O83" s="416">
        <v>0</v>
      </c>
      <c r="P83" s="413">
        <v>543491</v>
      </c>
      <c r="Q83" s="413">
        <v>0</v>
      </c>
      <c r="R83" s="413">
        <v>0</v>
      </c>
      <c r="S83" s="413">
        <f>S84+S85</f>
        <v>1619480</v>
      </c>
      <c r="T83" s="413">
        <f>T84+T85</f>
        <v>0</v>
      </c>
      <c r="U83" s="413">
        <f>U84+U85</f>
        <v>0</v>
      </c>
      <c r="V83" s="414">
        <f t="shared" si="8"/>
        <v>1619480</v>
      </c>
    </row>
    <row r="84" spans="1:22" ht="19.5" customHeight="1">
      <c r="A84" s="70"/>
      <c r="B84" s="129" t="s">
        <v>657</v>
      </c>
      <c r="C84" s="30"/>
      <c r="D84" s="30"/>
      <c r="E84" s="367" t="s">
        <v>144</v>
      </c>
      <c r="F84" s="360"/>
      <c r="G84" s="361"/>
      <c r="H84" s="362"/>
      <c r="I84" s="363"/>
      <c r="J84" s="251"/>
      <c r="K84" s="251"/>
      <c r="L84" s="251"/>
      <c r="M84" s="368"/>
      <c r="N84" s="368"/>
      <c r="O84" s="368"/>
      <c r="P84" s="251"/>
      <c r="Q84" s="251"/>
      <c r="R84" s="251"/>
      <c r="S84" s="251">
        <v>1314250</v>
      </c>
      <c r="T84" s="253"/>
      <c r="U84" s="253"/>
      <c r="V84" s="365">
        <f t="shared" si="8"/>
        <v>1314250</v>
      </c>
    </row>
    <row r="85" spans="1:23" ht="21.75" customHeight="1">
      <c r="A85" s="70"/>
      <c r="B85" s="129" t="s">
        <v>592</v>
      </c>
      <c r="C85" s="30"/>
      <c r="D85" s="30"/>
      <c r="E85" s="367" t="s">
        <v>144</v>
      </c>
      <c r="F85" s="360"/>
      <c r="G85" s="361"/>
      <c r="H85" s="362"/>
      <c r="I85" s="363"/>
      <c r="J85" s="251"/>
      <c r="K85" s="251"/>
      <c r="L85" s="251"/>
      <c r="M85" s="368"/>
      <c r="N85" s="368"/>
      <c r="O85" s="368"/>
      <c r="P85" s="251"/>
      <c r="Q85" s="251"/>
      <c r="R85" s="251"/>
      <c r="S85" s="251">
        <v>305230</v>
      </c>
      <c r="T85" s="253"/>
      <c r="U85" s="253"/>
      <c r="V85" s="365">
        <f t="shared" si="8"/>
        <v>305230</v>
      </c>
      <c r="W85" s="183"/>
    </row>
    <row r="86" spans="1:22" s="87" customFormat="1" ht="17.25" customHeight="1">
      <c r="A86" s="284" t="s">
        <v>11</v>
      </c>
      <c r="B86" s="415" t="s">
        <v>4</v>
      </c>
      <c r="C86" s="426"/>
      <c r="D86" s="426">
        <v>75814</v>
      </c>
      <c r="E86" s="408"/>
      <c r="F86" s="409">
        <f>F87</f>
        <v>90000</v>
      </c>
      <c r="G86" s="410">
        <f>G87</f>
        <v>100000</v>
      </c>
      <c r="H86" s="411">
        <f>IF(F86&gt;0,G86/F86*100,"")</f>
        <v>111.11111111111111</v>
      </c>
      <c r="I86" s="412" t="e">
        <f>F86/F180</f>
        <v>#REF!</v>
      </c>
      <c r="J86" s="413"/>
      <c r="K86" s="413">
        <f aca="true" t="shared" si="17" ref="K86:U86">K87</f>
        <v>0</v>
      </c>
      <c r="L86" s="413">
        <f t="shared" si="17"/>
        <v>0</v>
      </c>
      <c r="M86" s="413">
        <f t="shared" si="17"/>
        <v>60000</v>
      </c>
      <c r="N86" s="413">
        <f t="shared" si="17"/>
        <v>0</v>
      </c>
      <c r="O86" s="413">
        <f t="shared" si="17"/>
        <v>0</v>
      </c>
      <c r="P86" s="416">
        <f t="shared" si="17"/>
        <v>20000</v>
      </c>
      <c r="Q86" s="416">
        <f t="shared" si="17"/>
        <v>0</v>
      </c>
      <c r="R86" s="416">
        <f t="shared" si="17"/>
        <v>0</v>
      </c>
      <c r="S86" s="416">
        <f t="shared" si="17"/>
        <v>65000</v>
      </c>
      <c r="T86" s="416">
        <f t="shared" si="17"/>
        <v>0</v>
      </c>
      <c r="U86" s="416">
        <f t="shared" si="17"/>
        <v>0</v>
      </c>
      <c r="V86" s="414">
        <f t="shared" si="8"/>
        <v>65000</v>
      </c>
    </row>
    <row r="87" spans="1:22" ht="20.25" customHeight="1">
      <c r="A87" s="126"/>
      <c r="B87" s="129" t="s">
        <v>745</v>
      </c>
      <c r="C87" s="30"/>
      <c r="D87" s="30"/>
      <c r="E87" s="367" t="s">
        <v>135</v>
      </c>
      <c r="F87" s="360">
        <v>90000</v>
      </c>
      <c r="G87" s="361">
        <v>100000</v>
      </c>
      <c r="H87" s="362">
        <f>IF(F87&gt;0,G87/F87*100,"")</f>
        <v>111.11111111111111</v>
      </c>
      <c r="I87" s="363" t="e">
        <f>F87/F180</f>
        <v>#REF!</v>
      </c>
      <c r="J87" s="251"/>
      <c r="K87" s="251">
        <v>0</v>
      </c>
      <c r="L87" s="251">
        <v>0</v>
      </c>
      <c r="M87" s="251">
        <v>60000</v>
      </c>
      <c r="N87" s="251">
        <v>0</v>
      </c>
      <c r="O87" s="251">
        <v>0</v>
      </c>
      <c r="P87" s="251">
        <v>20000</v>
      </c>
      <c r="Q87" s="251">
        <v>0</v>
      </c>
      <c r="R87" s="251">
        <v>0</v>
      </c>
      <c r="S87" s="251">
        <v>65000</v>
      </c>
      <c r="T87" s="253"/>
      <c r="U87" s="253"/>
      <c r="V87" s="365">
        <f t="shared" si="8"/>
        <v>65000</v>
      </c>
    </row>
    <row r="88" spans="1:23" s="188" customFormat="1" ht="21.75" customHeight="1">
      <c r="A88" s="290" t="s">
        <v>363</v>
      </c>
      <c r="B88" s="415" t="s">
        <v>244</v>
      </c>
      <c r="C88" s="426"/>
      <c r="D88" s="426">
        <v>75832</v>
      </c>
      <c r="E88" s="408"/>
      <c r="F88" s="409"/>
      <c r="G88" s="410"/>
      <c r="H88" s="411"/>
      <c r="I88" s="412"/>
      <c r="J88" s="413"/>
      <c r="K88" s="413"/>
      <c r="L88" s="413"/>
      <c r="M88" s="416"/>
      <c r="N88" s="416"/>
      <c r="O88" s="416"/>
      <c r="P88" s="413"/>
      <c r="Q88" s="413"/>
      <c r="R88" s="413"/>
      <c r="S88" s="413">
        <f>S89</f>
        <v>1452290</v>
      </c>
      <c r="T88" s="413">
        <f>T89</f>
        <v>0</v>
      </c>
      <c r="U88" s="413">
        <f>U89</f>
        <v>0</v>
      </c>
      <c r="V88" s="414">
        <f t="shared" si="8"/>
        <v>1452290</v>
      </c>
      <c r="W88" s="294"/>
    </row>
    <row r="89" spans="1:22" s="33" customFormat="1" ht="18" customHeight="1">
      <c r="A89" s="285"/>
      <c r="B89" s="129" t="s">
        <v>658</v>
      </c>
      <c r="C89" s="47"/>
      <c r="D89" s="47"/>
      <c r="E89" s="367" t="s">
        <v>144</v>
      </c>
      <c r="F89" s="381"/>
      <c r="G89" s="382"/>
      <c r="H89" s="383"/>
      <c r="I89" s="384"/>
      <c r="J89" s="256"/>
      <c r="K89" s="256"/>
      <c r="L89" s="256"/>
      <c r="M89" s="385"/>
      <c r="N89" s="385"/>
      <c r="O89" s="385"/>
      <c r="P89" s="256"/>
      <c r="Q89" s="256"/>
      <c r="R89" s="256"/>
      <c r="S89" s="251">
        <v>1452290</v>
      </c>
      <c r="T89" s="253"/>
      <c r="U89" s="253">
        <v>0</v>
      </c>
      <c r="V89" s="365">
        <f t="shared" si="8"/>
        <v>1452290</v>
      </c>
    </row>
    <row r="90" spans="1:22" ht="26.25" customHeight="1" hidden="1">
      <c r="A90" s="126" t="s">
        <v>747</v>
      </c>
      <c r="B90" s="9" t="s">
        <v>5</v>
      </c>
      <c r="C90" s="30"/>
      <c r="D90" s="30">
        <v>75809</v>
      </c>
      <c r="E90" s="364"/>
      <c r="F90" s="360">
        <f>F91+F92</f>
        <v>0</v>
      </c>
      <c r="G90" s="361">
        <f>G91+G92</f>
        <v>0</v>
      </c>
      <c r="H90" s="362">
        <f aca="true" t="shared" si="18" ref="H90:H96">IF(F90&gt;0,G90/F90*100,"")</f>
      </c>
      <c r="I90" s="363" t="e">
        <f>F90/F180</f>
        <v>#REF!</v>
      </c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3"/>
      <c r="U90" s="253"/>
      <c r="V90" s="365">
        <f t="shared" si="8"/>
        <v>0</v>
      </c>
    </row>
    <row r="91" spans="1:22" ht="52.5" customHeight="1" hidden="1">
      <c r="A91" s="126"/>
      <c r="B91" s="9" t="s">
        <v>6</v>
      </c>
      <c r="C91" s="30"/>
      <c r="D91" s="30"/>
      <c r="E91" s="364">
        <v>271</v>
      </c>
      <c r="F91" s="360">
        <v>0</v>
      </c>
      <c r="G91" s="361">
        <v>0</v>
      </c>
      <c r="H91" s="362">
        <f t="shared" si="18"/>
      </c>
      <c r="I91" s="363" t="e">
        <f>F91/F180</f>
        <v>#REF!</v>
      </c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3"/>
      <c r="U91" s="253"/>
      <c r="V91" s="365">
        <f t="shared" si="8"/>
        <v>0</v>
      </c>
    </row>
    <row r="92" spans="1:22" ht="63.75" customHeight="1" hidden="1">
      <c r="A92" s="126"/>
      <c r="B92" s="9" t="s">
        <v>7</v>
      </c>
      <c r="C92" s="30"/>
      <c r="D92" s="30"/>
      <c r="E92" s="364">
        <v>630</v>
      </c>
      <c r="F92" s="360">
        <v>0</v>
      </c>
      <c r="G92" s="361">
        <v>0</v>
      </c>
      <c r="H92" s="362">
        <f t="shared" si="18"/>
      </c>
      <c r="I92" s="363" t="e">
        <f>F92/F180</f>
        <v>#REF!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3"/>
      <c r="U92" s="253"/>
      <c r="V92" s="365">
        <f t="shared" si="8"/>
        <v>0</v>
      </c>
    </row>
    <row r="93" spans="1:22" ht="18" customHeight="1">
      <c r="A93" s="283" t="s">
        <v>721</v>
      </c>
      <c r="B93" s="268" t="s">
        <v>8</v>
      </c>
      <c r="C93" s="267" t="s">
        <v>426</v>
      </c>
      <c r="D93" s="269"/>
      <c r="E93" s="389"/>
      <c r="F93" s="354" t="e">
        <f>F94+#REF!</f>
        <v>#REF!</v>
      </c>
      <c r="G93" s="379" t="e">
        <f>G94+#REF!+G99+#REF!</f>
        <v>#REF!</v>
      </c>
      <c r="H93" s="370" t="e">
        <f t="shared" si="18"/>
        <v>#REF!</v>
      </c>
      <c r="I93" s="380" t="e">
        <f>F93/F180</f>
        <v>#REF!</v>
      </c>
      <c r="J93" s="359"/>
      <c r="K93" s="359" t="e">
        <f>K94+#REF!+K99+#REF!</f>
        <v>#REF!</v>
      </c>
      <c r="L93" s="359" t="e">
        <f>L94+#REF!+L99+#REF!</f>
        <v>#REF!</v>
      </c>
      <c r="M93" s="359" t="e">
        <f>M94+M99+#REF!+#REF!</f>
        <v>#REF!</v>
      </c>
      <c r="N93" s="359" t="e">
        <f>N94+N99+#REF!</f>
        <v>#REF!</v>
      </c>
      <c r="O93" s="359" t="e">
        <f>O94+O99+#REF!</f>
        <v>#REF!</v>
      </c>
      <c r="P93" s="371" t="e">
        <f>P94+P99+#REF!+#REF!</f>
        <v>#REF!</v>
      </c>
      <c r="Q93" s="371" t="e">
        <f>Q94+Q99+#REF!+#REF!</f>
        <v>#REF!</v>
      </c>
      <c r="R93" s="371" t="e">
        <f>R94+R99+#REF!+#REF!</f>
        <v>#REF!</v>
      </c>
      <c r="S93" s="371">
        <f>S94+S99+S106</f>
        <v>136269</v>
      </c>
      <c r="T93" s="371">
        <f>T94+T99+T106</f>
        <v>291336</v>
      </c>
      <c r="U93" s="371">
        <f>U94+U99+U106</f>
        <v>0</v>
      </c>
      <c r="V93" s="395">
        <f t="shared" si="8"/>
        <v>427605</v>
      </c>
    </row>
    <row r="94" spans="1:22" s="87" customFormat="1" ht="16.5" customHeight="1">
      <c r="A94" s="284" t="s">
        <v>743</v>
      </c>
      <c r="B94" s="406" t="s">
        <v>445</v>
      </c>
      <c r="C94" s="407"/>
      <c r="D94" s="407" t="s">
        <v>444</v>
      </c>
      <c r="E94" s="408"/>
      <c r="F94" s="409" t="e">
        <f>F95+F96+#REF!+#REF!</f>
        <v>#REF!</v>
      </c>
      <c r="G94" s="410" t="e">
        <f>G95+G96+#REF!+#REF!</f>
        <v>#REF!</v>
      </c>
      <c r="H94" s="411" t="e">
        <f t="shared" si="18"/>
        <v>#REF!</v>
      </c>
      <c r="I94" s="412" t="e">
        <f>F94/F180</f>
        <v>#REF!</v>
      </c>
      <c r="J94" s="413"/>
      <c r="K94" s="413" t="e">
        <f>K95+K96+#REF!+#REF!</f>
        <v>#REF!</v>
      </c>
      <c r="L94" s="413" t="e">
        <f>L95+L96+#REF!+#REF!</f>
        <v>#REF!</v>
      </c>
      <c r="M94" s="413" t="e">
        <f>M95+M96+#REF!+#REF!+#REF!</f>
        <v>#REF!</v>
      </c>
      <c r="N94" s="413" t="e">
        <f>N95+N96+#REF!+#REF!+#REF!</f>
        <v>#REF!</v>
      </c>
      <c r="O94" s="413" t="e">
        <f>O95+O96+#REF!+#REF!+#REF!</f>
        <v>#REF!</v>
      </c>
      <c r="P94" s="413" t="e">
        <f>P95+P96+#REF!+#REF!</f>
        <v>#REF!</v>
      </c>
      <c r="Q94" s="413" t="e">
        <f>Q95+Q96+#REF!+#REF!</f>
        <v>#REF!</v>
      </c>
      <c r="R94" s="413" t="e">
        <f>R95+R96+#REF!+#REF!</f>
        <v>#REF!</v>
      </c>
      <c r="S94" s="413">
        <f>S95+S96+S97+S98</f>
        <v>17830</v>
      </c>
      <c r="T94" s="413">
        <f>T95+T96+T97+T98</f>
        <v>0</v>
      </c>
      <c r="U94" s="413">
        <f>U95+U96+U97+U98</f>
        <v>0</v>
      </c>
      <c r="V94" s="414">
        <f>S94+T94-U94</f>
        <v>17830</v>
      </c>
    </row>
    <row r="95" spans="1:22" ht="18" customHeight="1">
      <c r="A95" s="126"/>
      <c r="B95" s="130" t="s">
        <v>749</v>
      </c>
      <c r="C95" s="15"/>
      <c r="D95" s="15"/>
      <c r="E95" s="367" t="s">
        <v>136</v>
      </c>
      <c r="F95" s="360">
        <v>490</v>
      </c>
      <c r="G95" s="361">
        <v>500</v>
      </c>
      <c r="H95" s="362">
        <f t="shared" si="18"/>
        <v>102.04081632653062</v>
      </c>
      <c r="I95" s="363" t="e">
        <f>F95/F180</f>
        <v>#REF!</v>
      </c>
      <c r="J95" s="251"/>
      <c r="K95" s="251">
        <v>0</v>
      </c>
      <c r="L95" s="251">
        <v>0</v>
      </c>
      <c r="M95" s="251">
        <v>450</v>
      </c>
      <c r="N95" s="251">
        <v>0</v>
      </c>
      <c r="O95" s="251">
        <v>0</v>
      </c>
      <c r="P95" s="251">
        <v>600</v>
      </c>
      <c r="Q95" s="251">
        <v>0</v>
      </c>
      <c r="R95" s="251">
        <v>0</v>
      </c>
      <c r="S95" s="251">
        <v>400</v>
      </c>
      <c r="T95" s="253"/>
      <c r="U95" s="253"/>
      <c r="V95" s="365">
        <f t="shared" si="8"/>
        <v>400</v>
      </c>
    </row>
    <row r="96" spans="1:22" ht="21.75" customHeight="1">
      <c r="A96" s="126"/>
      <c r="B96" s="129" t="s">
        <v>189</v>
      </c>
      <c r="C96" s="15"/>
      <c r="D96" s="15"/>
      <c r="E96" s="367" t="s">
        <v>137</v>
      </c>
      <c r="F96" s="360">
        <v>41300</v>
      </c>
      <c r="G96" s="361">
        <v>53461</v>
      </c>
      <c r="H96" s="362">
        <f t="shared" si="18"/>
        <v>129.4455205811138</v>
      </c>
      <c r="I96" s="363" t="e">
        <f>F96/F180</f>
        <v>#REF!</v>
      </c>
      <c r="J96" s="251"/>
      <c r="K96" s="251">
        <v>0</v>
      </c>
      <c r="L96" s="251">
        <v>0</v>
      </c>
      <c r="M96" s="251">
        <v>39124</v>
      </c>
      <c r="N96" s="251">
        <v>0</v>
      </c>
      <c r="O96" s="251">
        <v>0</v>
      </c>
      <c r="P96" s="251">
        <v>29000</v>
      </c>
      <c r="Q96" s="251">
        <v>0</v>
      </c>
      <c r="R96" s="251">
        <v>4000</v>
      </c>
      <c r="S96" s="251">
        <v>17000</v>
      </c>
      <c r="T96" s="253"/>
      <c r="U96" s="253"/>
      <c r="V96" s="365">
        <f t="shared" si="8"/>
        <v>17000</v>
      </c>
    </row>
    <row r="97" spans="1:22" ht="15.75" customHeight="1">
      <c r="A97" s="126"/>
      <c r="B97" s="129" t="s">
        <v>752</v>
      </c>
      <c r="C97" s="15"/>
      <c r="D97" s="15"/>
      <c r="E97" s="367" t="s">
        <v>138</v>
      </c>
      <c r="F97" s="360"/>
      <c r="G97" s="361"/>
      <c r="H97" s="362"/>
      <c r="I97" s="363"/>
      <c r="J97" s="251"/>
      <c r="K97" s="251"/>
      <c r="L97" s="251"/>
      <c r="M97" s="251"/>
      <c r="N97" s="251"/>
      <c r="O97" s="251"/>
      <c r="P97" s="251"/>
      <c r="Q97" s="251"/>
      <c r="R97" s="251"/>
      <c r="S97" s="251">
        <v>0</v>
      </c>
      <c r="T97" s="253"/>
      <c r="U97" s="253"/>
      <c r="V97" s="365">
        <f t="shared" si="8"/>
        <v>0</v>
      </c>
    </row>
    <row r="98" spans="1:22" ht="17.25" customHeight="1">
      <c r="A98" s="126"/>
      <c r="B98" s="129" t="s">
        <v>745</v>
      </c>
      <c r="C98" s="15"/>
      <c r="D98" s="15"/>
      <c r="E98" s="367" t="s">
        <v>135</v>
      </c>
      <c r="F98" s="360"/>
      <c r="G98" s="361"/>
      <c r="H98" s="362"/>
      <c r="I98" s="363"/>
      <c r="J98" s="251"/>
      <c r="K98" s="251"/>
      <c r="L98" s="251"/>
      <c r="M98" s="251"/>
      <c r="N98" s="251"/>
      <c r="O98" s="251"/>
      <c r="P98" s="251"/>
      <c r="Q98" s="251"/>
      <c r="R98" s="251"/>
      <c r="S98" s="251">
        <v>430</v>
      </c>
      <c r="T98" s="253"/>
      <c r="U98" s="253"/>
      <c r="V98" s="365">
        <f t="shared" si="8"/>
        <v>430</v>
      </c>
    </row>
    <row r="99" spans="1:22" s="87" customFormat="1" ht="18.75" customHeight="1">
      <c r="A99" s="284" t="s">
        <v>747</v>
      </c>
      <c r="B99" s="415" t="s">
        <v>454</v>
      </c>
      <c r="C99" s="407"/>
      <c r="D99" s="407" t="s">
        <v>453</v>
      </c>
      <c r="E99" s="408"/>
      <c r="F99" s="409"/>
      <c r="G99" s="410">
        <f>G100+G101+G102+G103+G104+G105</f>
        <v>302185</v>
      </c>
      <c r="H99" s="411"/>
      <c r="I99" s="412"/>
      <c r="J99" s="413"/>
      <c r="K99" s="413">
        <f aca="true" t="shared" si="19" ref="K99:P99">K100+K101+K102+K103+K104+K105</f>
        <v>0</v>
      </c>
      <c r="L99" s="413">
        <f t="shared" si="19"/>
        <v>0</v>
      </c>
      <c r="M99" s="413">
        <f t="shared" si="19"/>
        <v>159655</v>
      </c>
      <c r="N99" s="413">
        <f t="shared" si="19"/>
        <v>0</v>
      </c>
      <c r="O99" s="413">
        <f t="shared" si="19"/>
        <v>0</v>
      </c>
      <c r="P99" s="416">
        <f t="shared" si="19"/>
        <v>252149</v>
      </c>
      <c r="Q99" s="416">
        <f>Q100+Q101+Q102+Q103+Q104+Q105</f>
        <v>0</v>
      </c>
      <c r="R99" s="416">
        <f>R100+R101+R102+R103+R104+R105</f>
        <v>0</v>
      </c>
      <c r="S99" s="416">
        <f>S100+S101+S102+S103+S104+S105</f>
        <v>118439</v>
      </c>
      <c r="T99" s="416">
        <f>T100+T101+T102+T103+T104+T105</f>
        <v>1336</v>
      </c>
      <c r="U99" s="416">
        <f>U100+U101+U102+U103+U104+U105</f>
        <v>0</v>
      </c>
      <c r="V99" s="414">
        <f t="shared" si="8"/>
        <v>119775</v>
      </c>
    </row>
    <row r="100" spans="1:22" ht="25.5" customHeight="1">
      <c r="A100" s="126"/>
      <c r="B100" s="130" t="s">
        <v>749</v>
      </c>
      <c r="C100" s="15"/>
      <c r="D100" s="15"/>
      <c r="E100" s="367" t="s">
        <v>136</v>
      </c>
      <c r="F100" s="360"/>
      <c r="G100" s="361">
        <v>330</v>
      </c>
      <c r="H100" s="362"/>
      <c r="I100" s="363"/>
      <c r="J100" s="251"/>
      <c r="K100" s="251">
        <v>0</v>
      </c>
      <c r="L100" s="251"/>
      <c r="M100" s="251">
        <v>0</v>
      </c>
      <c r="N100" s="251">
        <v>0</v>
      </c>
      <c r="O100" s="251">
        <v>0</v>
      </c>
      <c r="P100" s="251">
        <v>300</v>
      </c>
      <c r="Q100" s="251">
        <v>0</v>
      </c>
      <c r="R100" s="251">
        <v>0</v>
      </c>
      <c r="S100" s="251">
        <v>300</v>
      </c>
      <c r="T100" s="253"/>
      <c r="U100" s="253"/>
      <c r="V100" s="365">
        <f t="shared" si="8"/>
        <v>300</v>
      </c>
    </row>
    <row r="101" spans="1:22" ht="23.25" customHeight="1">
      <c r="A101" s="126"/>
      <c r="B101" s="129" t="s">
        <v>189</v>
      </c>
      <c r="C101" s="15"/>
      <c r="D101" s="15"/>
      <c r="E101" s="367" t="s">
        <v>137</v>
      </c>
      <c r="F101" s="360"/>
      <c r="G101" s="361">
        <v>195458</v>
      </c>
      <c r="H101" s="362"/>
      <c r="I101" s="363"/>
      <c r="J101" s="251"/>
      <c r="K101" s="251">
        <v>0</v>
      </c>
      <c r="L101" s="251">
        <v>0</v>
      </c>
      <c r="M101" s="251">
        <v>84152</v>
      </c>
      <c r="N101" s="251">
        <v>0</v>
      </c>
      <c r="O101" s="251">
        <v>0</v>
      </c>
      <c r="P101" s="251">
        <v>180558</v>
      </c>
      <c r="Q101" s="251">
        <v>0</v>
      </c>
      <c r="R101" s="251">
        <v>0</v>
      </c>
      <c r="S101" s="251">
        <v>50800</v>
      </c>
      <c r="T101" s="253"/>
      <c r="U101" s="253">
        <v>0</v>
      </c>
      <c r="V101" s="365">
        <f t="shared" si="8"/>
        <v>50800</v>
      </c>
    </row>
    <row r="102" spans="1:22" ht="19.5" customHeight="1">
      <c r="A102" s="126"/>
      <c r="B102" s="129" t="s">
        <v>752</v>
      </c>
      <c r="C102" s="15"/>
      <c r="D102" s="15"/>
      <c r="E102" s="367" t="s">
        <v>138</v>
      </c>
      <c r="F102" s="360"/>
      <c r="G102" s="361">
        <v>92116</v>
      </c>
      <c r="H102" s="362"/>
      <c r="I102" s="363"/>
      <c r="J102" s="251"/>
      <c r="K102" s="251">
        <v>0</v>
      </c>
      <c r="L102" s="251">
        <v>0</v>
      </c>
      <c r="M102" s="251">
        <v>69767</v>
      </c>
      <c r="N102" s="251">
        <v>0</v>
      </c>
      <c r="O102" s="251">
        <v>0</v>
      </c>
      <c r="P102" s="251">
        <v>68098</v>
      </c>
      <c r="Q102" s="251">
        <v>0</v>
      </c>
      <c r="R102" s="251">
        <v>0</v>
      </c>
      <c r="S102" s="251">
        <v>58087</v>
      </c>
      <c r="T102" s="253"/>
      <c r="U102" s="253"/>
      <c r="V102" s="365">
        <f t="shared" si="8"/>
        <v>58087</v>
      </c>
    </row>
    <row r="103" spans="1:22" ht="18.75" customHeight="1">
      <c r="A103" s="126"/>
      <c r="B103" s="129" t="s">
        <v>534</v>
      </c>
      <c r="C103" s="15"/>
      <c r="D103" s="15"/>
      <c r="E103" s="367" t="s">
        <v>533</v>
      </c>
      <c r="F103" s="360"/>
      <c r="G103" s="361">
        <v>200</v>
      </c>
      <c r="H103" s="362"/>
      <c r="I103" s="363"/>
      <c r="J103" s="251"/>
      <c r="K103" s="251">
        <v>0</v>
      </c>
      <c r="L103" s="251">
        <v>0</v>
      </c>
      <c r="M103" s="251">
        <v>200</v>
      </c>
      <c r="N103" s="251">
        <v>0</v>
      </c>
      <c r="O103" s="251">
        <v>0</v>
      </c>
      <c r="P103" s="251">
        <v>230</v>
      </c>
      <c r="Q103" s="251">
        <v>0</v>
      </c>
      <c r="R103" s="251">
        <v>0</v>
      </c>
      <c r="S103" s="251">
        <v>3100</v>
      </c>
      <c r="T103" s="253">
        <v>0</v>
      </c>
      <c r="U103" s="253"/>
      <c r="V103" s="365">
        <f t="shared" si="8"/>
        <v>3100</v>
      </c>
    </row>
    <row r="104" spans="1:22" ht="19.5" customHeight="1">
      <c r="A104" s="126"/>
      <c r="B104" s="129" t="s">
        <v>745</v>
      </c>
      <c r="C104" s="15"/>
      <c r="D104" s="15"/>
      <c r="E104" s="367" t="s">
        <v>135</v>
      </c>
      <c r="F104" s="360"/>
      <c r="G104" s="361">
        <v>13881</v>
      </c>
      <c r="H104" s="362"/>
      <c r="I104" s="363"/>
      <c r="J104" s="251"/>
      <c r="K104" s="251">
        <v>0</v>
      </c>
      <c r="L104" s="251">
        <v>0</v>
      </c>
      <c r="M104" s="251">
        <v>4650</v>
      </c>
      <c r="N104" s="251">
        <v>0</v>
      </c>
      <c r="O104" s="251">
        <v>0</v>
      </c>
      <c r="P104" s="251">
        <v>1270</v>
      </c>
      <c r="Q104" s="251">
        <v>0</v>
      </c>
      <c r="R104" s="251">
        <v>0</v>
      </c>
      <c r="S104" s="251">
        <v>350</v>
      </c>
      <c r="T104" s="253">
        <v>20</v>
      </c>
      <c r="U104" s="253"/>
      <c r="V104" s="365">
        <f t="shared" si="8"/>
        <v>370</v>
      </c>
    </row>
    <row r="105" spans="1:22" ht="22.5" customHeight="1">
      <c r="A105" s="126"/>
      <c r="B105" s="129" t="s">
        <v>769</v>
      </c>
      <c r="C105" s="15"/>
      <c r="D105" s="15"/>
      <c r="E105" s="367" t="s">
        <v>139</v>
      </c>
      <c r="F105" s="360"/>
      <c r="G105" s="361">
        <v>200</v>
      </c>
      <c r="H105" s="362"/>
      <c r="I105" s="363"/>
      <c r="J105" s="251"/>
      <c r="K105" s="251">
        <v>0</v>
      </c>
      <c r="L105" s="251">
        <v>0</v>
      </c>
      <c r="M105" s="251">
        <v>886</v>
      </c>
      <c r="N105" s="251">
        <v>0</v>
      </c>
      <c r="O105" s="251">
        <v>0</v>
      </c>
      <c r="P105" s="251">
        <v>1693</v>
      </c>
      <c r="Q105" s="251">
        <v>0</v>
      </c>
      <c r="R105" s="251">
        <v>0</v>
      </c>
      <c r="S105" s="251">
        <v>5802</v>
      </c>
      <c r="T105" s="253">
        <v>1316</v>
      </c>
      <c r="U105" s="253"/>
      <c r="V105" s="365">
        <f t="shared" si="8"/>
        <v>7118</v>
      </c>
    </row>
    <row r="106" spans="1:22" ht="14.25" customHeight="1">
      <c r="A106" s="126"/>
      <c r="B106" s="415" t="s">
        <v>202</v>
      </c>
      <c r="C106" s="417"/>
      <c r="D106" s="417" t="s">
        <v>203</v>
      </c>
      <c r="E106" s="408"/>
      <c r="F106" s="409"/>
      <c r="G106" s="410"/>
      <c r="H106" s="411"/>
      <c r="I106" s="412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>
        <f>S107</f>
        <v>0</v>
      </c>
      <c r="T106" s="413">
        <f>T107</f>
        <v>290000</v>
      </c>
      <c r="U106" s="413">
        <f>U107</f>
        <v>0</v>
      </c>
      <c r="V106" s="414">
        <f t="shared" si="8"/>
        <v>290000</v>
      </c>
    </row>
    <row r="107" spans="1:22" ht="33" customHeight="1">
      <c r="A107" s="126"/>
      <c r="B107" s="129" t="s">
        <v>201</v>
      </c>
      <c r="C107" s="15"/>
      <c r="D107" s="15"/>
      <c r="E107" s="367" t="s">
        <v>200</v>
      </c>
      <c r="F107" s="360"/>
      <c r="G107" s="361"/>
      <c r="H107" s="362"/>
      <c r="I107" s="363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>
        <v>0</v>
      </c>
      <c r="T107" s="253">
        <v>290000</v>
      </c>
      <c r="U107" s="253"/>
      <c r="V107" s="365">
        <f t="shared" si="8"/>
        <v>290000</v>
      </c>
    </row>
    <row r="108" spans="1:22" ht="21.75" customHeight="1">
      <c r="A108" s="283" t="s">
        <v>199</v>
      </c>
      <c r="B108" s="266" t="s">
        <v>653</v>
      </c>
      <c r="C108" s="261">
        <v>803</v>
      </c>
      <c r="D108" s="273"/>
      <c r="E108" s="391"/>
      <c r="F108" s="378"/>
      <c r="G108" s="379"/>
      <c r="H108" s="370"/>
      <c r="I108" s="380"/>
      <c r="J108" s="359"/>
      <c r="K108" s="359"/>
      <c r="L108" s="359"/>
      <c r="M108" s="359"/>
      <c r="N108" s="359"/>
      <c r="O108" s="359"/>
      <c r="P108" s="359" t="e">
        <f>#REF!</f>
        <v>#REF!</v>
      </c>
      <c r="Q108" s="359" t="e">
        <f>#REF!</f>
        <v>#REF!</v>
      </c>
      <c r="R108" s="359" t="e">
        <f>#REF!</f>
        <v>#REF!</v>
      </c>
      <c r="S108" s="359">
        <f>S109</f>
        <v>85101</v>
      </c>
      <c r="T108" s="359">
        <f>T109</f>
        <v>0</v>
      </c>
      <c r="U108" s="359">
        <f>U109</f>
        <v>0</v>
      </c>
      <c r="V108" s="392">
        <f aca="true" t="shared" si="20" ref="V108:V148">S108+T108-U108</f>
        <v>85101</v>
      </c>
    </row>
    <row r="109" spans="1:22" s="293" customFormat="1" ht="21.75" customHeight="1">
      <c r="A109" s="290" t="s">
        <v>743</v>
      </c>
      <c r="B109" s="415" t="s">
        <v>100</v>
      </c>
      <c r="C109" s="426"/>
      <c r="D109" s="426">
        <v>80309</v>
      </c>
      <c r="E109" s="422"/>
      <c r="F109" s="409"/>
      <c r="G109" s="410"/>
      <c r="H109" s="411"/>
      <c r="I109" s="412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>
        <f>S110+S111+S112</f>
        <v>85101</v>
      </c>
      <c r="T109" s="413">
        <f>T110+T111+T112</f>
        <v>0</v>
      </c>
      <c r="U109" s="413">
        <f>U110+U111+U112</f>
        <v>0</v>
      </c>
      <c r="V109" s="414">
        <f t="shared" si="20"/>
        <v>85101</v>
      </c>
    </row>
    <row r="110" spans="1:22" s="293" customFormat="1" ht="21.75" customHeight="1">
      <c r="A110" s="290"/>
      <c r="B110" s="335" t="s">
        <v>745</v>
      </c>
      <c r="C110" s="292"/>
      <c r="D110" s="292"/>
      <c r="E110" s="400" t="s">
        <v>135</v>
      </c>
      <c r="F110" s="396"/>
      <c r="G110" s="397"/>
      <c r="H110" s="398"/>
      <c r="I110" s="399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>
        <v>40</v>
      </c>
      <c r="T110" s="388">
        <v>0</v>
      </c>
      <c r="U110" s="388"/>
      <c r="V110" s="365">
        <f t="shared" si="20"/>
        <v>40</v>
      </c>
    </row>
    <row r="111" spans="1:22" ht="47.25" customHeight="1">
      <c r="A111" s="284"/>
      <c r="B111" s="129" t="s">
        <v>67</v>
      </c>
      <c r="C111" s="19"/>
      <c r="D111" s="19"/>
      <c r="E111" s="364">
        <v>2888</v>
      </c>
      <c r="F111" s="360"/>
      <c r="G111" s="361"/>
      <c r="H111" s="362"/>
      <c r="I111" s="363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>
        <v>63795</v>
      </c>
      <c r="T111" s="253">
        <v>0</v>
      </c>
      <c r="U111" s="253"/>
      <c r="V111" s="365">
        <f t="shared" si="20"/>
        <v>63795</v>
      </c>
    </row>
    <row r="112" spans="1:22" ht="44.25" customHeight="1">
      <c r="A112" s="284"/>
      <c r="B112" s="129" t="s">
        <v>67</v>
      </c>
      <c r="C112" s="19"/>
      <c r="D112" s="19"/>
      <c r="E112" s="364">
        <v>2889</v>
      </c>
      <c r="F112" s="360"/>
      <c r="G112" s="361"/>
      <c r="H112" s="362"/>
      <c r="I112" s="363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>
        <v>21266</v>
      </c>
      <c r="T112" s="253">
        <v>0</v>
      </c>
      <c r="U112" s="253"/>
      <c r="V112" s="365">
        <f t="shared" si="20"/>
        <v>21266</v>
      </c>
    </row>
    <row r="113" spans="1:22" ht="15" customHeight="1">
      <c r="A113" s="283" t="s">
        <v>723</v>
      </c>
      <c r="B113" s="266" t="s">
        <v>10</v>
      </c>
      <c r="C113" s="267" t="s">
        <v>471</v>
      </c>
      <c r="D113" s="267"/>
      <c r="E113" s="369"/>
      <c r="F113" s="378"/>
      <c r="G113" s="379"/>
      <c r="H113" s="370"/>
      <c r="I113" s="380"/>
      <c r="J113" s="359"/>
      <c r="K113" s="359"/>
      <c r="L113" s="359"/>
      <c r="M113" s="359"/>
      <c r="N113" s="359"/>
      <c r="O113" s="359"/>
      <c r="P113" s="359">
        <f>P114</f>
        <v>8070</v>
      </c>
      <c r="Q113" s="359">
        <f>Q114</f>
        <v>0</v>
      </c>
      <c r="R113" s="359">
        <f>R114</f>
        <v>0</v>
      </c>
      <c r="S113" s="359">
        <f>S114+S120</f>
        <v>3224476</v>
      </c>
      <c r="T113" s="359">
        <f>T114+T120</f>
        <v>0</v>
      </c>
      <c r="U113" s="359">
        <f>U114+U120</f>
        <v>0</v>
      </c>
      <c r="V113" s="392">
        <f t="shared" si="20"/>
        <v>3224476</v>
      </c>
    </row>
    <row r="114" spans="1:22" s="87" customFormat="1" ht="16.5" customHeight="1">
      <c r="A114" s="284" t="s">
        <v>743</v>
      </c>
      <c r="B114" s="415" t="s">
        <v>474</v>
      </c>
      <c r="C114" s="407"/>
      <c r="D114" s="407" t="s">
        <v>473</v>
      </c>
      <c r="E114" s="408"/>
      <c r="F114" s="409"/>
      <c r="G114" s="410"/>
      <c r="H114" s="411"/>
      <c r="I114" s="412"/>
      <c r="J114" s="413"/>
      <c r="K114" s="413"/>
      <c r="L114" s="413"/>
      <c r="M114" s="413"/>
      <c r="N114" s="413"/>
      <c r="O114" s="413"/>
      <c r="P114" s="413">
        <f>P116</f>
        <v>8070</v>
      </c>
      <c r="Q114" s="413">
        <f>Q116</f>
        <v>0</v>
      </c>
      <c r="R114" s="413">
        <f>R116</f>
        <v>0</v>
      </c>
      <c r="S114" s="413">
        <f>S115+S116+S117+S118+S119</f>
        <v>2676476</v>
      </c>
      <c r="T114" s="413">
        <f>T115+T116+T117+T118+T119</f>
        <v>0</v>
      </c>
      <c r="U114" s="413">
        <f>U115+U116+U117+U118+U119</f>
        <v>0</v>
      </c>
      <c r="V114" s="414">
        <f t="shared" si="20"/>
        <v>2676476</v>
      </c>
    </row>
    <row r="115" spans="1:22" ht="25.5" customHeight="1">
      <c r="A115" s="285"/>
      <c r="B115" s="129" t="s">
        <v>647</v>
      </c>
      <c r="C115" s="15"/>
      <c r="D115" s="24"/>
      <c r="E115" s="367" t="s">
        <v>648</v>
      </c>
      <c r="F115" s="360"/>
      <c r="G115" s="361"/>
      <c r="H115" s="362"/>
      <c r="I115" s="363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>
        <v>60006</v>
      </c>
      <c r="T115" s="253"/>
      <c r="U115" s="253"/>
      <c r="V115" s="365">
        <f t="shared" si="20"/>
        <v>60006</v>
      </c>
    </row>
    <row r="116" spans="1:22" ht="20.25" customHeight="1">
      <c r="A116" s="126"/>
      <c r="B116" s="129" t="s">
        <v>535</v>
      </c>
      <c r="C116" s="15"/>
      <c r="D116" s="15"/>
      <c r="E116" s="367" t="s">
        <v>137</v>
      </c>
      <c r="F116" s="360"/>
      <c r="G116" s="361"/>
      <c r="H116" s="362"/>
      <c r="I116" s="363"/>
      <c r="J116" s="251"/>
      <c r="K116" s="251"/>
      <c r="L116" s="251"/>
      <c r="M116" s="251"/>
      <c r="N116" s="251"/>
      <c r="O116" s="251"/>
      <c r="P116" s="251">
        <v>8070</v>
      </c>
      <c r="Q116" s="251">
        <v>0</v>
      </c>
      <c r="R116" s="251">
        <v>0</v>
      </c>
      <c r="S116" s="251">
        <v>54120</v>
      </c>
      <c r="T116" s="253"/>
      <c r="U116" s="253"/>
      <c r="V116" s="365">
        <f t="shared" si="20"/>
        <v>54120</v>
      </c>
    </row>
    <row r="117" spans="1:22" ht="24" customHeight="1">
      <c r="A117" s="284"/>
      <c r="B117" s="129" t="s">
        <v>191</v>
      </c>
      <c r="C117" s="28"/>
      <c r="D117" s="28"/>
      <c r="E117" s="367" t="s">
        <v>650</v>
      </c>
      <c r="F117" s="251"/>
      <c r="G117" s="251"/>
      <c r="H117" s="362"/>
      <c r="I117" s="362"/>
      <c r="J117" s="251"/>
      <c r="K117" s="251"/>
      <c r="L117" s="251"/>
      <c r="M117" s="251"/>
      <c r="N117" s="251"/>
      <c r="O117" s="251"/>
      <c r="P117" s="368"/>
      <c r="Q117" s="368"/>
      <c r="R117" s="368"/>
      <c r="S117" s="368">
        <v>1801762</v>
      </c>
      <c r="T117" s="366"/>
      <c r="U117" s="366"/>
      <c r="V117" s="365">
        <f t="shared" si="20"/>
        <v>1801762</v>
      </c>
    </row>
    <row r="118" spans="1:22" ht="21.75" customHeight="1">
      <c r="A118" s="284"/>
      <c r="B118" s="129" t="s">
        <v>191</v>
      </c>
      <c r="C118" s="28"/>
      <c r="D118" s="28"/>
      <c r="E118" s="367" t="s">
        <v>119</v>
      </c>
      <c r="F118" s="251"/>
      <c r="G118" s="251"/>
      <c r="H118" s="362"/>
      <c r="I118" s="362"/>
      <c r="J118" s="251"/>
      <c r="K118" s="251"/>
      <c r="L118" s="251"/>
      <c r="M118" s="251"/>
      <c r="N118" s="251"/>
      <c r="O118" s="251"/>
      <c r="P118" s="368"/>
      <c r="Q118" s="368"/>
      <c r="R118" s="368"/>
      <c r="S118" s="368">
        <v>349000</v>
      </c>
      <c r="T118" s="366"/>
      <c r="U118" s="366"/>
      <c r="V118" s="365">
        <f t="shared" si="20"/>
        <v>349000</v>
      </c>
    </row>
    <row r="119" spans="1:22" ht="23.25" customHeight="1">
      <c r="A119" s="285"/>
      <c r="B119" s="129" t="s">
        <v>64</v>
      </c>
      <c r="C119" s="30"/>
      <c r="D119" s="47"/>
      <c r="E119" s="364">
        <v>6619</v>
      </c>
      <c r="F119" s="360"/>
      <c r="G119" s="361"/>
      <c r="H119" s="362"/>
      <c r="I119" s="363"/>
      <c r="J119" s="251"/>
      <c r="K119" s="251"/>
      <c r="L119" s="251"/>
      <c r="M119" s="251"/>
      <c r="N119" s="251"/>
      <c r="O119" s="251"/>
      <c r="P119" s="251"/>
      <c r="Q119" s="251"/>
      <c r="R119" s="251"/>
      <c r="S119" s="387">
        <v>411588</v>
      </c>
      <c r="T119" s="388"/>
      <c r="U119" s="388"/>
      <c r="V119" s="365">
        <f t="shared" si="20"/>
        <v>411588</v>
      </c>
    </row>
    <row r="120" spans="1:22" ht="25.5" customHeight="1">
      <c r="A120" s="126" t="s">
        <v>747</v>
      </c>
      <c r="B120" s="425" t="s">
        <v>18</v>
      </c>
      <c r="C120" s="419"/>
      <c r="D120" s="419">
        <v>85156</v>
      </c>
      <c r="E120" s="413"/>
      <c r="F120" s="409"/>
      <c r="G120" s="410">
        <v>2010880</v>
      </c>
      <c r="H120" s="411"/>
      <c r="I120" s="412"/>
      <c r="J120" s="413"/>
      <c r="K120" s="413">
        <v>0</v>
      </c>
      <c r="L120" s="413">
        <v>0</v>
      </c>
      <c r="M120" s="413">
        <v>567150</v>
      </c>
      <c r="N120" s="413">
        <v>0</v>
      </c>
      <c r="O120" s="413">
        <v>70165</v>
      </c>
      <c r="P120" s="413">
        <v>363000</v>
      </c>
      <c r="Q120" s="413">
        <v>0</v>
      </c>
      <c r="R120" s="413">
        <v>0</v>
      </c>
      <c r="S120" s="413">
        <f>S121</f>
        <v>548000</v>
      </c>
      <c r="T120" s="413">
        <f>T121</f>
        <v>0</v>
      </c>
      <c r="U120" s="413">
        <f>U121</f>
        <v>0</v>
      </c>
      <c r="V120" s="414">
        <f t="shared" si="20"/>
        <v>548000</v>
      </c>
    </row>
    <row r="121" spans="1:22" ht="25.5" customHeight="1">
      <c r="A121" s="126"/>
      <c r="B121" s="129" t="s">
        <v>101</v>
      </c>
      <c r="C121" s="30"/>
      <c r="D121" s="30"/>
      <c r="E121" s="364">
        <v>2110</v>
      </c>
      <c r="F121" s="360"/>
      <c r="G121" s="361"/>
      <c r="H121" s="362"/>
      <c r="I121" s="363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>
        <v>548000</v>
      </c>
      <c r="T121" s="253">
        <v>0</v>
      </c>
      <c r="U121" s="253"/>
      <c r="V121" s="365">
        <f t="shared" si="20"/>
        <v>548000</v>
      </c>
    </row>
    <row r="122" spans="1:22" ht="29.25" customHeight="1">
      <c r="A122" s="283" t="s">
        <v>102</v>
      </c>
      <c r="B122" s="266" t="s">
        <v>405</v>
      </c>
      <c r="C122" s="261">
        <v>852</v>
      </c>
      <c r="D122" s="261"/>
      <c r="E122" s="391"/>
      <c r="F122" s="378"/>
      <c r="G122" s="379"/>
      <c r="H122" s="370"/>
      <c r="I122" s="380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>
        <f>S123+S129+S134+S137</f>
        <v>1139162</v>
      </c>
      <c r="T122" s="359">
        <f>T123+T129+T134+T137</f>
        <v>3413</v>
      </c>
      <c r="U122" s="359">
        <f>U123+U129+U134+U137</f>
        <v>0</v>
      </c>
      <c r="V122" s="392">
        <f t="shared" si="20"/>
        <v>1142575</v>
      </c>
    </row>
    <row r="123" spans="1:22" s="87" customFormat="1" ht="26.25" customHeight="1">
      <c r="A123" s="284" t="s">
        <v>743</v>
      </c>
      <c r="B123" s="415" t="s">
        <v>614</v>
      </c>
      <c r="C123" s="407"/>
      <c r="D123" s="407" t="s">
        <v>406</v>
      </c>
      <c r="E123" s="408"/>
      <c r="F123" s="409" t="e">
        <f>#REF!+F125+#REF!+#REF!+F126</f>
        <v>#REF!</v>
      </c>
      <c r="G123" s="410" t="e">
        <f>#REF!+G125+#REF!+#REF!+G126+#REF!</f>
        <v>#REF!</v>
      </c>
      <c r="H123" s="411" t="e">
        <f>IF(F123&gt;0,G123/F123*100,"")</f>
        <v>#REF!</v>
      </c>
      <c r="I123" s="412" t="e">
        <f>F123/F180</f>
        <v>#REF!</v>
      </c>
      <c r="J123" s="413"/>
      <c r="K123" s="413" t="e">
        <f>#REF!+K125+#REF!+#REF!+K126+#REF!</f>
        <v>#REF!</v>
      </c>
      <c r="L123" s="413" t="e">
        <f>#REF!+L125+#REF!+#REF!+L126++#REF!</f>
        <v>#REF!</v>
      </c>
      <c r="M123" s="413" t="e">
        <f>#REF!+M125+#REF!+#REF!+M126+#REF!</f>
        <v>#REF!</v>
      </c>
      <c r="N123" s="413" t="e">
        <f>#REF!+N125+#REF!+#REF!+N126+#REF!</f>
        <v>#REF!</v>
      </c>
      <c r="O123" s="413" t="e">
        <f>#REF!+O125+#REF!+#REF!+O126+#REF!</f>
        <v>#REF!</v>
      </c>
      <c r="P123" s="416">
        <f>P125+P126</f>
        <v>6850</v>
      </c>
      <c r="Q123" s="416">
        <f>Q125+Q126</f>
        <v>0</v>
      </c>
      <c r="R123" s="416">
        <f>R125+R126</f>
        <v>0</v>
      </c>
      <c r="S123" s="416">
        <f>S124+S125+S126+S127+S128</f>
        <v>209604</v>
      </c>
      <c r="T123" s="416">
        <f>T124+T125+T126+T127+T128</f>
        <v>0</v>
      </c>
      <c r="U123" s="416">
        <f>U124+U125+U126+U127+U128</f>
        <v>0</v>
      </c>
      <c r="V123" s="416">
        <f>V124+V125+V126+V127+V128</f>
        <v>209604</v>
      </c>
    </row>
    <row r="124" spans="1:22" ht="21.75" customHeight="1">
      <c r="A124" s="285"/>
      <c r="B124" s="129" t="s">
        <v>565</v>
      </c>
      <c r="C124" s="24"/>
      <c r="D124" s="24"/>
      <c r="E124" s="367" t="s">
        <v>566</v>
      </c>
      <c r="F124" s="360"/>
      <c r="G124" s="361"/>
      <c r="H124" s="362"/>
      <c r="I124" s="363"/>
      <c r="J124" s="251"/>
      <c r="K124" s="251"/>
      <c r="L124" s="251"/>
      <c r="M124" s="251"/>
      <c r="N124" s="251"/>
      <c r="O124" s="251"/>
      <c r="P124" s="368"/>
      <c r="Q124" s="368"/>
      <c r="R124" s="368"/>
      <c r="S124" s="368">
        <v>300</v>
      </c>
      <c r="T124" s="366"/>
      <c r="U124" s="366"/>
      <c r="V124" s="365">
        <f t="shared" si="20"/>
        <v>300</v>
      </c>
    </row>
    <row r="125" spans="1:22" ht="16.5" customHeight="1">
      <c r="A125" s="285"/>
      <c r="B125" s="129" t="s">
        <v>258</v>
      </c>
      <c r="C125" s="15"/>
      <c r="D125" s="15"/>
      <c r="E125" s="367" t="s">
        <v>137</v>
      </c>
      <c r="F125" s="360">
        <v>2740</v>
      </c>
      <c r="G125" s="361">
        <v>4713</v>
      </c>
      <c r="H125" s="362">
        <f>IF(F125&gt;0,G125/F125*100,"")</f>
        <v>172.007299270073</v>
      </c>
      <c r="I125" s="363" t="e">
        <f>F125/F180</f>
        <v>#REF!</v>
      </c>
      <c r="J125" s="251"/>
      <c r="K125" s="251">
        <v>0</v>
      </c>
      <c r="L125" s="251">
        <v>0</v>
      </c>
      <c r="M125" s="251">
        <v>6500</v>
      </c>
      <c r="N125" s="251">
        <v>0</v>
      </c>
      <c r="O125" s="251">
        <v>0</v>
      </c>
      <c r="P125" s="251">
        <v>6500</v>
      </c>
      <c r="Q125" s="251">
        <v>0</v>
      </c>
      <c r="R125" s="251">
        <v>0</v>
      </c>
      <c r="S125" s="251">
        <v>0</v>
      </c>
      <c r="T125" s="253"/>
      <c r="U125" s="253"/>
      <c r="V125" s="365">
        <f t="shared" si="20"/>
        <v>0</v>
      </c>
    </row>
    <row r="126" spans="1:22" ht="12.75" customHeight="1">
      <c r="A126" s="285"/>
      <c r="B126" s="130" t="s">
        <v>745</v>
      </c>
      <c r="C126" s="15"/>
      <c r="D126" s="15"/>
      <c r="E126" s="367" t="s">
        <v>135</v>
      </c>
      <c r="F126" s="360">
        <v>4000</v>
      </c>
      <c r="G126" s="361">
        <v>6000</v>
      </c>
      <c r="H126" s="362">
        <f>IF(F126&gt;0,G126/F126*100,"")</f>
        <v>150</v>
      </c>
      <c r="I126" s="363" t="e">
        <f>F126/F180</f>
        <v>#REF!</v>
      </c>
      <c r="J126" s="251"/>
      <c r="K126" s="251">
        <v>0</v>
      </c>
      <c r="L126" s="251">
        <v>0</v>
      </c>
      <c r="M126" s="251">
        <v>2500</v>
      </c>
      <c r="N126" s="251">
        <v>0</v>
      </c>
      <c r="O126" s="251">
        <v>0</v>
      </c>
      <c r="P126" s="251">
        <v>350</v>
      </c>
      <c r="Q126" s="251">
        <v>0</v>
      </c>
      <c r="R126" s="251">
        <v>0</v>
      </c>
      <c r="S126" s="251">
        <v>200</v>
      </c>
      <c r="T126" s="253"/>
      <c r="U126" s="253"/>
      <c r="V126" s="365">
        <f t="shared" si="20"/>
        <v>200</v>
      </c>
    </row>
    <row r="127" spans="1:22" ht="15" customHeight="1">
      <c r="A127" s="285"/>
      <c r="B127" s="129" t="s">
        <v>257</v>
      </c>
      <c r="C127" s="15"/>
      <c r="D127" s="15"/>
      <c r="E127" s="367" t="s">
        <v>355</v>
      </c>
      <c r="F127" s="360"/>
      <c r="G127" s="361"/>
      <c r="H127" s="362"/>
      <c r="I127" s="363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>
        <v>3000</v>
      </c>
      <c r="T127" s="253">
        <v>0</v>
      </c>
      <c r="U127" s="253"/>
      <c r="V127" s="365">
        <f t="shared" si="20"/>
        <v>3000</v>
      </c>
    </row>
    <row r="128" spans="1:22" s="33" customFormat="1" ht="22.5" customHeight="1">
      <c r="A128" s="285"/>
      <c r="B128" s="129" t="s">
        <v>103</v>
      </c>
      <c r="C128" s="47"/>
      <c r="D128" s="19"/>
      <c r="E128" s="364">
        <v>2320</v>
      </c>
      <c r="F128" s="360"/>
      <c r="G128" s="361"/>
      <c r="H128" s="362"/>
      <c r="I128" s="363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>
        <v>206104</v>
      </c>
      <c r="T128" s="253"/>
      <c r="U128" s="253">
        <v>0</v>
      </c>
      <c r="V128" s="365">
        <f t="shared" si="20"/>
        <v>206104</v>
      </c>
    </row>
    <row r="129" spans="1:22" s="87" customFormat="1" ht="15.75" customHeight="1">
      <c r="A129" s="284" t="s">
        <v>747</v>
      </c>
      <c r="B129" s="406" t="s">
        <v>487</v>
      </c>
      <c r="C129" s="407"/>
      <c r="D129" s="407" t="s">
        <v>407</v>
      </c>
      <c r="E129" s="408"/>
      <c r="F129" s="409">
        <f>F130+F131</f>
        <v>159900</v>
      </c>
      <c r="G129" s="410">
        <f>G130+G131</f>
        <v>170000</v>
      </c>
      <c r="H129" s="411">
        <f>IF(F129&gt;0,G129/F129*100,"")</f>
        <v>106.31644777986241</v>
      </c>
      <c r="I129" s="412" t="e">
        <f>F129/F180</f>
        <v>#REF!</v>
      </c>
      <c r="J129" s="413"/>
      <c r="K129" s="413">
        <f>K130+K131</f>
        <v>6500</v>
      </c>
      <c r="L129" s="413">
        <f>L130+L131</f>
        <v>500</v>
      </c>
      <c r="M129" s="413">
        <f>M130+M131</f>
        <v>180500</v>
      </c>
      <c r="N129" s="413">
        <f>N130+N131</f>
        <v>0</v>
      </c>
      <c r="O129" s="413">
        <f>O130+O131</f>
        <v>0</v>
      </c>
      <c r="P129" s="416">
        <f>P130+P131+P132</f>
        <v>182200</v>
      </c>
      <c r="Q129" s="416">
        <f>Q130+Q131+Q132</f>
        <v>0</v>
      </c>
      <c r="R129" s="416">
        <f>R130+R131+R132</f>
        <v>0</v>
      </c>
      <c r="S129" s="416">
        <f>S130+S131+S132+S133</f>
        <v>861123</v>
      </c>
      <c r="T129" s="416">
        <f>T130+T131+T132+T133</f>
        <v>3413</v>
      </c>
      <c r="U129" s="416">
        <f>U130+U131+U132+U133</f>
        <v>0</v>
      </c>
      <c r="V129" s="414">
        <f t="shared" si="20"/>
        <v>864536</v>
      </c>
    </row>
    <row r="130" spans="1:22" ht="13.5" customHeight="1">
      <c r="A130" s="126"/>
      <c r="B130" s="130" t="s">
        <v>752</v>
      </c>
      <c r="C130" s="15"/>
      <c r="D130" s="15"/>
      <c r="E130" s="367" t="s">
        <v>138</v>
      </c>
      <c r="F130" s="360">
        <v>159000</v>
      </c>
      <c r="G130" s="361">
        <v>169000</v>
      </c>
      <c r="H130" s="362">
        <f>IF(F130&gt;0,G130/F130*100,"")</f>
        <v>106.28930817610063</v>
      </c>
      <c r="I130" s="363" t="e">
        <f>F130/F180</f>
        <v>#REF!</v>
      </c>
      <c r="J130" s="251"/>
      <c r="K130" s="251">
        <v>6500</v>
      </c>
      <c r="L130" s="251">
        <v>0</v>
      </c>
      <c r="M130" s="251">
        <v>180000</v>
      </c>
      <c r="N130" s="251">
        <v>0</v>
      </c>
      <c r="O130" s="251">
        <v>0</v>
      </c>
      <c r="P130" s="251">
        <v>182000</v>
      </c>
      <c r="Q130" s="251">
        <v>0</v>
      </c>
      <c r="R130" s="251">
        <v>0</v>
      </c>
      <c r="S130" s="251">
        <v>317085</v>
      </c>
      <c r="T130" s="253">
        <v>3413</v>
      </c>
      <c r="U130" s="253"/>
      <c r="V130" s="365">
        <f t="shared" si="20"/>
        <v>320498</v>
      </c>
    </row>
    <row r="131" spans="1:22" ht="16.5" customHeight="1">
      <c r="A131" s="126"/>
      <c r="B131" s="129" t="s">
        <v>745</v>
      </c>
      <c r="C131" s="15"/>
      <c r="D131" s="15"/>
      <c r="E131" s="367" t="s">
        <v>135</v>
      </c>
      <c r="F131" s="360">
        <v>900</v>
      </c>
      <c r="G131" s="361">
        <v>1000</v>
      </c>
      <c r="H131" s="362">
        <f>IF(F131&gt;0,G131/F131*100,"")</f>
        <v>111.11111111111111</v>
      </c>
      <c r="I131" s="362" t="e">
        <f>F131/F180</f>
        <v>#REF!</v>
      </c>
      <c r="J131" s="251"/>
      <c r="K131" s="251">
        <v>0</v>
      </c>
      <c r="L131" s="251">
        <v>500</v>
      </c>
      <c r="M131" s="251">
        <v>500</v>
      </c>
      <c r="N131" s="251">
        <v>0</v>
      </c>
      <c r="O131" s="251">
        <v>0</v>
      </c>
      <c r="P131" s="251">
        <v>50</v>
      </c>
      <c r="Q131" s="251">
        <v>0</v>
      </c>
      <c r="R131" s="251">
        <v>0</v>
      </c>
      <c r="S131" s="251">
        <v>500</v>
      </c>
      <c r="T131" s="253"/>
      <c r="U131" s="253"/>
      <c r="V131" s="365">
        <f t="shared" si="20"/>
        <v>500</v>
      </c>
    </row>
    <row r="132" spans="1:22" ht="16.5" customHeight="1">
      <c r="A132" s="126"/>
      <c r="B132" s="129" t="s">
        <v>769</v>
      </c>
      <c r="C132" s="15"/>
      <c r="D132" s="15"/>
      <c r="E132" s="367" t="s">
        <v>139</v>
      </c>
      <c r="F132" s="360"/>
      <c r="G132" s="361"/>
      <c r="H132" s="362"/>
      <c r="I132" s="362"/>
      <c r="J132" s="251"/>
      <c r="K132" s="251"/>
      <c r="L132" s="251"/>
      <c r="M132" s="251"/>
      <c r="N132" s="251"/>
      <c r="O132" s="251"/>
      <c r="P132" s="251">
        <v>150</v>
      </c>
      <c r="Q132" s="251">
        <v>0</v>
      </c>
      <c r="R132" s="251">
        <v>0</v>
      </c>
      <c r="S132" s="251">
        <v>0</v>
      </c>
      <c r="T132" s="253"/>
      <c r="U132" s="253"/>
      <c r="V132" s="365">
        <f t="shared" si="20"/>
        <v>0</v>
      </c>
    </row>
    <row r="133" spans="1:22" ht="17.25" customHeight="1">
      <c r="A133" s="126"/>
      <c r="B133" s="129" t="s">
        <v>256</v>
      </c>
      <c r="C133" s="30"/>
      <c r="D133" s="47"/>
      <c r="E133" s="364">
        <v>2130</v>
      </c>
      <c r="F133" s="381" t="e">
        <f>#REF!</f>
        <v>#REF!</v>
      </c>
      <c r="G133" s="382" t="e">
        <f>#REF!</f>
        <v>#REF!</v>
      </c>
      <c r="H133" s="383" t="e">
        <f>IF(F133&gt;0,G133/F133*100,"")</f>
        <v>#REF!</v>
      </c>
      <c r="I133" s="383" t="e">
        <f>F133/F180</f>
        <v>#REF!</v>
      </c>
      <c r="J133" s="256"/>
      <c r="K133" s="256" t="e">
        <f>#REF!</f>
        <v>#REF!</v>
      </c>
      <c r="L133" s="256" t="e">
        <f>#REF!</f>
        <v>#REF!</v>
      </c>
      <c r="M133" s="256" t="e">
        <f>#REF!</f>
        <v>#REF!</v>
      </c>
      <c r="N133" s="256" t="e">
        <f>#REF!</f>
        <v>#REF!</v>
      </c>
      <c r="O133" s="256" t="e">
        <f>#REF!</f>
        <v>#REF!</v>
      </c>
      <c r="P133" s="385" t="e">
        <f>#REF!</f>
        <v>#REF!</v>
      </c>
      <c r="Q133" s="385" t="e">
        <f>#REF!</f>
        <v>#REF!</v>
      </c>
      <c r="R133" s="385" t="e">
        <f>#REF!</f>
        <v>#REF!</v>
      </c>
      <c r="S133" s="368">
        <v>543538</v>
      </c>
      <c r="T133" s="366">
        <v>0</v>
      </c>
      <c r="U133" s="366">
        <v>0</v>
      </c>
      <c r="V133" s="365">
        <f t="shared" si="20"/>
        <v>543538</v>
      </c>
    </row>
    <row r="134" spans="1:22" s="87" customFormat="1" ht="18" customHeight="1">
      <c r="A134" s="284" t="s">
        <v>9</v>
      </c>
      <c r="B134" s="415" t="s">
        <v>615</v>
      </c>
      <c r="C134" s="407"/>
      <c r="D134" s="407" t="s">
        <v>412</v>
      </c>
      <c r="E134" s="408"/>
      <c r="F134" s="409"/>
      <c r="G134" s="410"/>
      <c r="H134" s="411"/>
      <c r="I134" s="411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>
        <f>S135+S136</f>
        <v>65285</v>
      </c>
      <c r="T134" s="413">
        <f>T135+T136</f>
        <v>0</v>
      </c>
      <c r="U134" s="413">
        <f>U135+U136</f>
        <v>0</v>
      </c>
      <c r="V134" s="414">
        <f t="shared" si="20"/>
        <v>65285</v>
      </c>
    </row>
    <row r="135" spans="1:22" ht="21" customHeight="1">
      <c r="A135" s="126"/>
      <c r="B135" s="129" t="s">
        <v>565</v>
      </c>
      <c r="C135" s="15"/>
      <c r="D135" s="15"/>
      <c r="E135" s="367" t="s">
        <v>566</v>
      </c>
      <c r="F135" s="360"/>
      <c r="G135" s="361"/>
      <c r="H135" s="362"/>
      <c r="I135" s="362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>
        <v>700</v>
      </c>
      <c r="T135" s="253"/>
      <c r="U135" s="253"/>
      <c r="V135" s="365">
        <f t="shared" si="20"/>
        <v>700</v>
      </c>
    </row>
    <row r="136" spans="1:22" ht="22.5" customHeight="1">
      <c r="A136" s="126"/>
      <c r="B136" s="129" t="s">
        <v>103</v>
      </c>
      <c r="C136" s="15"/>
      <c r="D136" s="15"/>
      <c r="E136" s="367" t="s">
        <v>462</v>
      </c>
      <c r="F136" s="251"/>
      <c r="G136" s="251"/>
      <c r="H136" s="362"/>
      <c r="I136" s="362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>
        <v>64585</v>
      </c>
      <c r="T136" s="253">
        <v>0</v>
      </c>
      <c r="U136" s="253"/>
      <c r="V136" s="365">
        <f t="shared" si="20"/>
        <v>64585</v>
      </c>
    </row>
    <row r="137" spans="1:22" s="87" customFormat="1" ht="15.75" customHeight="1">
      <c r="A137" s="284" t="s">
        <v>11</v>
      </c>
      <c r="B137" s="415" t="s">
        <v>649</v>
      </c>
      <c r="C137" s="407"/>
      <c r="D137" s="407" t="s">
        <v>408</v>
      </c>
      <c r="E137" s="408"/>
      <c r="F137" s="413"/>
      <c r="G137" s="413"/>
      <c r="H137" s="411"/>
      <c r="I137" s="411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>
        <f>S138+S139</f>
        <v>3150</v>
      </c>
      <c r="T137" s="413">
        <f>T138+T139</f>
        <v>0</v>
      </c>
      <c r="U137" s="413">
        <f>U138+U139</f>
        <v>0</v>
      </c>
      <c r="V137" s="414">
        <f t="shared" si="20"/>
        <v>3150</v>
      </c>
    </row>
    <row r="138" spans="1:22" ht="19.5" customHeight="1">
      <c r="A138" s="126"/>
      <c r="B138" s="129" t="s">
        <v>745</v>
      </c>
      <c r="C138" s="15"/>
      <c r="D138" s="15"/>
      <c r="E138" s="367" t="s">
        <v>135</v>
      </c>
      <c r="F138" s="251"/>
      <c r="G138" s="251"/>
      <c r="H138" s="362"/>
      <c r="I138" s="362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>
        <v>150</v>
      </c>
      <c r="T138" s="253">
        <v>0</v>
      </c>
      <c r="U138" s="253"/>
      <c r="V138" s="365">
        <f t="shared" si="20"/>
        <v>150</v>
      </c>
    </row>
    <row r="139" spans="1:22" ht="20.25" customHeight="1">
      <c r="A139" s="126"/>
      <c r="B139" s="129" t="s">
        <v>104</v>
      </c>
      <c r="C139" s="15"/>
      <c r="D139" s="15"/>
      <c r="E139" s="367" t="s">
        <v>355</v>
      </c>
      <c r="F139" s="251"/>
      <c r="G139" s="251"/>
      <c r="H139" s="362"/>
      <c r="I139" s="362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>
        <v>3000</v>
      </c>
      <c r="T139" s="253">
        <v>0</v>
      </c>
      <c r="U139" s="253"/>
      <c r="V139" s="365">
        <f t="shared" si="20"/>
        <v>3000</v>
      </c>
    </row>
    <row r="140" spans="1:22" ht="25.5" customHeight="1">
      <c r="A140" s="283">
        <v>10</v>
      </c>
      <c r="B140" s="266" t="s">
        <v>409</v>
      </c>
      <c r="C140" s="267" t="s">
        <v>480</v>
      </c>
      <c r="D140" s="267"/>
      <c r="E140" s="369"/>
      <c r="F140" s="359"/>
      <c r="G140" s="359"/>
      <c r="H140" s="370"/>
      <c r="I140" s="370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>
        <f>S141+S145+S150</f>
        <v>812581</v>
      </c>
      <c r="T140" s="359">
        <f>T141+T145+T150</f>
        <v>361411</v>
      </c>
      <c r="U140" s="359">
        <f>U141+U145+U150</f>
        <v>1000</v>
      </c>
      <c r="V140" s="392">
        <f t="shared" si="20"/>
        <v>1172992</v>
      </c>
    </row>
    <row r="141" spans="1:22" s="87" customFormat="1" ht="15.75" customHeight="1">
      <c r="A141" s="284" t="s">
        <v>743</v>
      </c>
      <c r="B141" s="415" t="s">
        <v>12</v>
      </c>
      <c r="C141" s="407"/>
      <c r="D141" s="407" t="s">
        <v>493</v>
      </c>
      <c r="E141" s="408"/>
      <c r="F141" s="413">
        <f>F142</f>
        <v>19873</v>
      </c>
      <c r="G141" s="413">
        <f>G142</f>
        <v>20000</v>
      </c>
      <c r="H141" s="411">
        <f>G141/F141*100</f>
        <v>100.63905801841695</v>
      </c>
      <c r="I141" s="411" t="e">
        <f>F141/F187</f>
        <v>#DIV/0!</v>
      </c>
      <c r="J141" s="413"/>
      <c r="K141" s="413">
        <f aca="true" t="shared" si="21" ref="K141:R141">K142</f>
        <v>0</v>
      </c>
      <c r="L141" s="413">
        <f t="shared" si="21"/>
        <v>0</v>
      </c>
      <c r="M141" s="413">
        <f t="shared" si="21"/>
        <v>12412</v>
      </c>
      <c r="N141" s="413">
        <f t="shared" si="21"/>
        <v>0</v>
      </c>
      <c r="O141" s="413">
        <f t="shared" si="21"/>
        <v>0</v>
      </c>
      <c r="P141" s="416">
        <f t="shared" si="21"/>
        <v>12412</v>
      </c>
      <c r="Q141" s="416">
        <f t="shared" si="21"/>
        <v>0</v>
      </c>
      <c r="R141" s="416">
        <f t="shared" si="21"/>
        <v>0</v>
      </c>
      <c r="S141" s="416">
        <f>S142+S143+S144</f>
        <v>657571</v>
      </c>
      <c r="T141" s="416">
        <f>T142+T143+T144</f>
        <v>0</v>
      </c>
      <c r="U141" s="416">
        <f>U142+U143+U144</f>
        <v>1000</v>
      </c>
      <c r="V141" s="414">
        <f t="shared" si="20"/>
        <v>656571</v>
      </c>
    </row>
    <row r="142" spans="1:22" ht="17.25" customHeight="1">
      <c r="A142" s="126"/>
      <c r="B142" s="129" t="s">
        <v>769</v>
      </c>
      <c r="C142" s="15"/>
      <c r="D142" s="15"/>
      <c r="E142" s="367" t="s">
        <v>139</v>
      </c>
      <c r="F142" s="251">
        <v>19873</v>
      </c>
      <c r="G142" s="251">
        <v>20000</v>
      </c>
      <c r="H142" s="362">
        <f>G142/F142*100</f>
        <v>100.63905801841695</v>
      </c>
      <c r="I142" s="362" t="e">
        <f>F142/F187</f>
        <v>#DIV/0!</v>
      </c>
      <c r="J142" s="251"/>
      <c r="K142" s="251">
        <v>0</v>
      </c>
      <c r="L142" s="251">
        <v>0</v>
      </c>
      <c r="M142" s="251">
        <v>12412</v>
      </c>
      <c r="N142" s="251">
        <v>0</v>
      </c>
      <c r="O142" s="251">
        <v>0</v>
      </c>
      <c r="P142" s="251">
        <v>12412</v>
      </c>
      <c r="Q142" s="251">
        <v>0</v>
      </c>
      <c r="R142" s="251">
        <v>0</v>
      </c>
      <c r="S142" s="251">
        <v>20491</v>
      </c>
      <c r="T142" s="253"/>
      <c r="U142" s="253"/>
      <c r="V142" s="365">
        <f t="shared" si="20"/>
        <v>20491</v>
      </c>
    </row>
    <row r="143" spans="1:22" ht="23.25" customHeight="1">
      <c r="A143" s="126"/>
      <c r="B143" s="129" t="s">
        <v>655</v>
      </c>
      <c r="C143" s="15"/>
      <c r="D143" s="15"/>
      <c r="E143" s="367" t="s">
        <v>715</v>
      </c>
      <c r="F143" s="251"/>
      <c r="G143" s="251"/>
      <c r="H143" s="362"/>
      <c r="I143" s="362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>
        <v>53974</v>
      </c>
      <c r="T143" s="253">
        <v>0</v>
      </c>
      <c r="U143" s="253">
        <v>0</v>
      </c>
      <c r="V143" s="365">
        <f t="shared" si="20"/>
        <v>53974</v>
      </c>
    </row>
    <row r="144" spans="1:22" ht="21.75" customHeight="1">
      <c r="A144" s="126"/>
      <c r="B144" s="129" t="s">
        <v>654</v>
      </c>
      <c r="C144" s="15"/>
      <c r="D144" s="15"/>
      <c r="E144" s="367" t="s">
        <v>714</v>
      </c>
      <c r="F144" s="251"/>
      <c r="G144" s="251"/>
      <c r="H144" s="362"/>
      <c r="I144" s="362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>
        <v>583106</v>
      </c>
      <c r="T144" s="253">
        <v>0</v>
      </c>
      <c r="U144" s="253">
        <v>1000</v>
      </c>
      <c r="V144" s="365">
        <f t="shared" si="20"/>
        <v>582106</v>
      </c>
    </row>
    <row r="145" spans="1:22" s="87" customFormat="1" ht="18" customHeight="1">
      <c r="A145" s="284" t="s">
        <v>747</v>
      </c>
      <c r="B145" s="428" t="s">
        <v>498</v>
      </c>
      <c r="C145" s="407"/>
      <c r="D145" s="407" t="s">
        <v>497</v>
      </c>
      <c r="E145" s="408"/>
      <c r="F145" s="413" t="e">
        <f>#REF!</f>
        <v>#REF!</v>
      </c>
      <c r="G145" s="413" t="e">
        <f>#REF!</f>
        <v>#REF!</v>
      </c>
      <c r="H145" s="411" t="e">
        <f>IF(F145&gt;0,G145/F145*100,"")</f>
        <v>#REF!</v>
      </c>
      <c r="I145" s="411" t="e">
        <f>F145/F187</f>
        <v>#REF!</v>
      </c>
      <c r="J145" s="413"/>
      <c r="K145" s="413" t="e">
        <f>#REF!</f>
        <v>#REF!</v>
      </c>
      <c r="L145" s="413" t="e">
        <f>#REF!</f>
        <v>#REF!</v>
      </c>
      <c r="M145" s="413" t="e">
        <f>#REF!+M148</f>
        <v>#REF!</v>
      </c>
      <c r="N145" s="413" t="e">
        <f>#REF!+N148</f>
        <v>#REF!</v>
      </c>
      <c r="O145" s="413" t="e">
        <f>#REF!+O148</f>
        <v>#REF!</v>
      </c>
      <c r="P145" s="416" t="e">
        <f>#REF!+P148</f>
        <v>#REF!</v>
      </c>
      <c r="Q145" s="416" t="e">
        <f>#REF!+Q148</f>
        <v>#REF!</v>
      </c>
      <c r="R145" s="416" t="e">
        <f>#REF!+R148</f>
        <v>#REF!</v>
      </c>
      <c r="S145" s="416">
        <f>S146+S147+S148+S149</f>
        <v>155010</v>
      </c>
      <c r="T145" s="416">
        <v>0</v>
      </c>
      <c r="U145" s="416">
        <f>U146+U147+U148+U149</f>
        <v>0</v>
      </c>
      <c r="V145" s="414">
        <f t="shared" si="20"/>
        <v>155010</v>
      </c>
    </row>
    <row r="146" spans="1:22" ht="20.25" customHeight="1">
      <c r="A146" s="285"/>
      <c r="B146" s="129" t="s">
        <v>751</v>
      </c>
      <c r="C146" s="24"/>
      <c r="D146" s="28"/>
      <c r="E146" s="367" t="s">
        <v>137</v>
      </c>
      <c r="F146" s="251"/>
      <c r="G146" s="251"/>
      <c r="H146" s="362"/>
      <c r="I146" s="362"/>
      <c r="J146" s="251"/>
      <c r="K146" s="251"/>
      <c r="L146" s="251"/>
      <c r="M146" s="251"/>
      <c r="N146" s="251"/>
      <c r="O146" s="251"/>
      <c r="P146" s="368"/>
      <c r="Q146" s="368"/>
      <c r="R146" s="368"/>
      <c r="S146" s="368">
        <v>0</v>
      </c>
      <c r="T146" s="366"/>
      <c r="U146" s="366"/>
      <c r="V146" s="365">
        <f t="shared" si="20"/>
        <v>0</v>
      </c>
    </row>
    <row r="147" spans="1:22" ht="12" customHeight="1">
      <c r="A147" s="126"/>
      <c r="B147" s="129" t="s">
        <v>745</v>
      </c>
      <c r="C147" s="15"/>
      <c r="D147" s="15"/>
      <c r="E147" s="367" t="s">
        <v>135</v>
      </c>
      <c r="F147" s="251"/>
      <c r="G147" s="251"/>
      <c r="H147" s="362"/>
      <c r="I147" s="362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>
        <v>180</v>
      </c>
      <c r="T147" s="253"/>
      <c r="U147" s="253"/>
      <c r="V147" s="365">
        <f t="shared" si="20"/>
        <v>180</v>
      </c>
    </row>
    <row r="148" spans="1:22" ht="12" customHeight="1">
      <c r="A148" s="126"/>
      <c r="B148" s="129" t="s">
        <v>769</v>
      </c>
      <c r="C148" s="15"/>
      <c r="D148" s="15"/>
      <c r="E148" s="367" t="s">
        <v>139</v>
      </c>
      <c r="F148" s="251"/>
      <c r="G148" s="251"/>
      <c r="H148" s="362"/>
      <c r="I148" s="362"/>
      <c r="J148" s="251"/>
      <c r="K148" s="251"/>
      <c r="L148" s="251"/>
      <c r="M148" s="251">
        <v>30</v>
      </c>
      <c r="N148" s="251">
        <v>0</v>
      </c>
      <c r="O148" s="251">
        <v>0</v>
      </c>
      <c r="P148" s="251">
        <v>30</v>
      </c>
      <c r="Q148" s="251">
        <v>0</v>
      </c>
      <c r="R148" s="251">
        <v>0</v>
      </c>
      <c r="S148" s="251">
        <v>14030</v>
      </c>
      <c r="T148" s="253"/>
      <c r="U148" s="253"/>
      <c r="V148" s="365">
        <f t="shared" si="20"/>
        <v>14030</v>
      </c>
    </row>
    <row r="149" spans="1:23" ht="16.5" customHeight="1">
      <c r="A149" s="285"/>
      <c r="B149" s="129" t="s">
        <v>259</v>
      </c>
      <c r="C149" s="19"/>
      <c r="D149" s="19"/>
      <c r="E149" s="364">
        <v>2690</v>
      </c>
      <c r="F149" s="360"/>
      <c r="G149" s="361">
        <v>71700</v>
      </c>
      <c r="H149" s="362"/>
      <c r="I149" s="363"/>
      <c r="J149" s="251"/>
      <c r="K149" s="251">
        <v>0</v>
      </c>
      <c r="L149" s="251">
        <v>0</v>
      </c>
      <c r="M149" s="251">
        <v>48720</v>
      </c>
      <c r="N149" s="251">
        <v>0</v>
      </c>
      <c r="O149" s="251">
        <v>0</v>
      </c>
      <c r="P149" s="251">
        <v>15000</v>
      </c>
      <c r="Q149" s="251">
        <v>103519</v>
      </c>
      <c r="R149" s="251">
        <v>0</v>
      </c>
      <c r="S149" s="251">
        <v>140800</v>
      </c>
      <c r="T149" s="253"/>
      <c r="U149" s="253"/>
      <c r="V149" s="365">
        <f aca="true" t="shared" si="22" ref="V149:V186">S149+T149-U149</f>
        <v>140800</v>
      </c>
      <c r="W149" s="82"/>
    </row>
    <row r="150" spans="1:23" ht="16.5" customHeight="1">
      <c r="A150" s="285"/>
      <c r="B150" s="415" t="s">
        <v>344</v>
      </c>
      <c r="C150" s="426"/>
      <c r="D150" s="451">
        <v>85395</v>
      </c>
      <c r="E150" s="422"/>
      <c r="F150" s="409"/>
      <c r="G150" s="410"/>
      <c r="H150" s="411"/>
      <c r="I150" s="412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>
        <f>S151+S152</f>
        <v>0</v>
      </c>
      <c r="T150" s="413">
        <f>T151+T152</f>
        <v>361411</v>
      </c>
      <c r="U150" s="413">
        <f>U151+U152</f>
        <v>0</v>
      </c>
      <c r="V150" s="414">
        <f t="shared" si="22"/>
        <v>361411</v>
      </c>
      <c r="W150" s="36"/>
    </row>
    <row r="151" spans="1:23" ht="31.5" customHeight="1">
      <c r="A151" s="285"/>
      <c r="B151" s="129" t="s">
        <v>47</v>
      </c>
      <c r="C151" s="19"/>
      <c r="D151" s="19"/>
      <c r="E151" s="364">
        <v>2888</v>
      </c>
      <c r="F151" s="360"/>
      <c r="G151" s="361"/>
      <c r="H151" s="362"/>
      <c r="I151" s="363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>
        <v>0</v>
      </c>
      <c r="T151" s="253">
        <v>271058</v>
      </c>
      <c r="U151" s="253"/>
      <c r="V151" s="443">
        <f t="shared" si="22"/>
        <v>271058</v>
      </c>
      <c r="W151" s="36"/>
    </row>
    <row r="152" spans="1:23" ht="32.25" customHeight="1">
      <c r="A152" s="285"/>
      <c r="B152" s="129" t="s">
        <v>47</v>
      </c>
      <c r="C152" s="19"/>
      <c r="D152" s="19"/>
      <c r="E152" s="364">
        <v>2889</v>
      </c>
      <c r="F152" s="360"/>
      <c r="G152" s="361"/>
      <c r="H152" s="362"/>
      <c r="I152" s="363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>
        <v>0</v>
      </c>
      <c r="T152" s="253">
        <v>90353</v>
      </c>
      <c r="U152" s="253"/>
      <c r="V152" s="443">
        <f t="shared" si="22"/>
        <v>90353</v>
      </c>
      <c r="W152" s="36"/>
    </row>
    <row r="153" spans="1:22" ht="27.75" customHeight="1">
      <c r="A153" s="283" t="s">
        <v>105</v>
      </c>
      <c r="B153" s="272" t="s">
        <v>13</v>
      </c>
      <c r="C153" s="267" t="s">
        <v>500</v>
      </c>
      <c r="D153" s="269"/>
      <c r="E153" s="389"/>
      <c r="F153" s="358" t="e">
        <f>F154+F160+F163</f>
        <v>#REF!</v>
      </c>
      <c r="G153" s="359" t="e">
        <f>G154+G160+G163</f>
        <v>#REF!</v>
      </c>
      <c r="H153" s="370" t="e">
        <f>IF(F153&gt;0,G153/F153*100,"")</f>
        <v>#REF!</v>
      </c>
      <c r="I153" s="370" t="e">
        <f>F153/F180</f>
        <v>#REF!</v>
      </c>
      <c r="J153" s="359"/>
      <c r="K153" s="359" t="e">
        <f aca="true" t="shared" si="23" ref="K153:R153">K154+K160+K163</f>
        <v>#REF!</v>
      </c>
      <c r="L153" s="359" t="e">
        <f t="shared" si="23"/>
        <v>#REF!</v>
      </c>
      <c r="M153" s="359" t="e">
        <f t="shared" si="23"/>
        <v>#REF!</v>
      </c>
      <c r="N153" s="359" t="e">
        <f t="shared" si="23"/>
        <v>#REF!</v>
      </c>
      <c r="O153" s="359" t="e">
        <f t="shared" si="23"/>
        <v>#REF!</v>
      </c>
      <c r="P153" s="371" t="e">
        <f t="shared" si="23"/>
        <v>#REF!</v>
      </c>
      <c r="Q153" s="371" t="e">
        <f t="shared" si="23"/>
        <v>#REF!</v>
      </c>
      <c r="R153" s="371" t="e">
        <f t="shared" si="23"/>
        <v>#REF!</v>
      </c>
      <c r="S153" s="371">
        <f>S154+S160+S163+S169</f>
        <v>1177498</v>
      </c>
      <c r="T153" s="371">
        <f>T154+T160+T163+T169</f>
        <v>264512</v>
      </c>
      <c r="U153" s="371">
        <f>U154+U160+U163+U169</f>
        <v>17448</v>
      </c>
      <c r="V153" s="392">
        <f t="shared" si="22"/>
        <v>1424562</v>
      </c>
    </row>
    <row r="154" spans="1:22" s="87" customFormat="1" ht="26.25" customHeight="1">
      <c r="A154" s="284" t="s">
        <v>743</v>
      </c>
      <c r="B154" s="415" t="s">
        <v>503</v>
      </c>
      <c r="C154" s="407"/>
      <c r="D154" s="407" t="s">
        <v>502</v>
      </c>
      <c r="E154" s="408"/>
      <c r="F154" s="413">
        <f>F155+F156+F158</f>
        <v>84355</v>
      </c>
      <c r="G154" s="413" t="e">
        <f>G155+G156+G158+#REF!</f>
        <v>#REF!</v>
      </c>
      <c r="H154" s="411" t="e">
        <f>IF(F154&gt;0,G154/F154*100,"")</f>
        <v>#REF!</v>
      </c>
      <c r="I154" s="411" t="e">
        <f>F154/F180</f>
        <v>#REF!</v>
      </c>
      <c r="J154" s="413"/>
      <c r="K154" s="413" t="e">
        <f>K155+K156+K158+#REF!</f>
        <v>#REF!</v>
      </c>
      <c r="L154" s="413" t="e">
        <f>L155+L156+L158+#REF!</f>
        <v>#REF!</v>
      </c>
      <c r="M154" s="413" t="e">
        <f>#REF!+M155+M156+M158+#REF!+M159</f>
        <v>#REF!</v>
      </c>
      <c r="N154" s="413" t="e">
        <f>#REF!+N155+N156+#REF!+N158+N159</f>
        <v>#REF!</v>
      </c>
      <c r="O154" s="413" t="e">
        <f>#REF!+O155+O156+#REF!+O158+O159</f>
        <v>#REF!</v>
      </c>
      <c r="P154" s="416">
        <f>P155+P156+P158+P159</f>
        <v>67100</v>
      </c>
      <c r="Q154" s="416">
        <f>Q155+Q156+Q158+Q159</f>
        <v>0</v>
      </c>
      <c r="R154" s="416">
        <f>R155+R156+R158+R159</f>
        <v>0</v>
      </c>
      <c r="S154" s="416">
        <f>S155+S156+S157+S158+S159</f>
        <v>86541</v>
      </c>
      <c r="T154" s="416">
        <f>T155+T156+T157+T158+T159</f>
        <v>2738</v>
      </c>
      <c r="U154" s="416">
        <f>U155+U156+U157+U158+U159</f>
        <v>2738</v>
      </c>
      <c r="V154" s="414">
        <f t="shared" si="22"/>
        <v>86541</v>
      </c>
    </row>
    <row r="155" spans="1:22" ht="20.25" customHeight="1">
      <c r="A155" s="126"/>
      <c r="B155" s="129" t="s">
        <v>567</v>
      </c>
      <c r="C155" s="15"/>
      <c r="D155" s="15"/>
      <c r="E155" s="367" t="s">
        <v>566</v>
      </c>
      <c r="F155" s="251">
        <v>8195</v>
      </c>
      <c r="G155" s="251">
        <v>33775</v>
      </c>
      <c r="H155" s="362">
        <f>IF(F155&gt;0,G155/F155*100,"")</f>
        <v>412.1415497254423</v>
      </c>
      <c r="I155" s="362" t="e">
        <f>F155/F180</f>
        <v>#REF!</v>
      </c>
      <c r="J155" s="251"/>
      <c r="K155" s="251">
        <v>0</v>
      </c>
      <c r="L155" s="251">
        <v>0</v>
      </c>
      <c r="M155" s="251">
        <v>20900</v>
      </c>
      <c r="N155" s="251">
        <v>0</v>
      </c>
      <c r="O155" s="251">
        <v>0</v>
      </c>
      <c r="P155" s="251">
        <v>18000</v>
      </c>
      <c r="Q155" s="251">
        <v>0</v>
      </c>
      <c r="R155" s="251">
        <v>0</v>
      </c>
      <c r="S155" s="251">
        <v>42700</v>
      </c>
      <c r="T155" s="253"/>
      <c r="U155" s="253"/>
      <c r="V155" s="365">
        <f t="shared" si="22"/>
        <v>42700</v>
      </c>
    </row>
    <row r="156" spans="1:22" ht="24" customHeight="1">
      <c r="A156" s="126"/>
      <c r="B156" s="129" t="s">
        <v>189</v>
      </c>
      <c r="C156" s="15"/>
      <c r="D156" s="15"/>
      <c r="E156" s="367" t="s">
        <v>137</v>
      </c>
      <c r="F156" s="251">
        <v>60000</v>
      </c>
      <c r="G156" s="251">
        <v>66000</v>
      </c>
      <c r="H156" s="362">
        <f>IF(F156&gt;0,G156/F156*100,"")</f>
        <v>110.00000000000001</v>
      </c>
      <c r="I156" s="362" t="e">
        <f>F156/F180</f>
        <v>#REF!</v>
      </c>
      <c r="J156" s="251"/>
      <c r="K156" s="251">
        <v>0</v>
      </c>
      <c r="L156" s="251">
        <v>0</v>
      </c>
      <c r="M156" s="251">
        <v>55000</v>
      </c>
      <c r="N156" s="251">
        <v>0</v>
      </c>
      <c r="O156" s="251">
        <v>0</v>
      </c>
      <c r="P156" s="251">
        <v>49000</v>
      </c>
      <c r="Q156" s="251">
        <v>0</v>
      </c>
      <c r="R156" s="251">
        <v>0</v>
      </c>
      <c r="S156" s="251">
        <v>28641</v>
      </c>
      <c r="T156" s="253"/>
      <c r="U156" s="253">
        <v>2738</v>
      </c>
      <c r="V156" s="365">
        <f t="shared" si="22"/>
        <v>25903</v>
      </c>
    </row>
    <row r="157" spans="1:22" ht="24" customHeight="1">
      <c r="A157" s="126"/>
      <c r="B157" s="129" t="s">
        <v>46</v>
      </c>
      <c r="C157" s="15"/>
      <c r="D157" s="15"/>
      <c r="E157" s="367" t="s">
        <v>533</v>
      </c>
      <c r="F157" s="251"/>
      <c r="G157" s="251"/>
      <c r="H157" s="362"/>
      <c r="I157" s="362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>
        <v>0</v>
      </c>
      <c r="T157" s="253">
        <v>2738</v>
      </c>
      <c r="U157" s="253"/>
      <c r="V157" s="365">
        <f t="shared" si="22"/>
        <v>2738</v>
      </c>
    </row>
    <row r="158" spans="1:22" ht="12.75" customHeight="1">
      <c r="A158" s="126"/>
      <c r="B158" s="129" t="s">
        <v>745</v>
      </c>
      <c r="C158" s="15"/>
      <c r="D158" s="15"/>
      <c r="E158" s="367" t="s">
        <v>135</v>
      </c>
      <c r="F158" s="251">
        <v>16160</v>
      </c>
      <c r="G158" s="251">
        <v>16748</v>
      </c>
      <c r="H158" s="362">
        <f>IF(F158&gt;0,G158/F158*100,"")</f>
        <v>103.63861386138613</v>
      </c>
      <c r="I158" s="362" t="e">
        <f>F158/F180</f>
        <v>#REF!</v>
      </c>
      <c r="J158" s="251"/>
      <c r="K158" s="251">
        <v>0</v>
      </c>
      <c r="L158" s="251">
        <v>0</v>
      </c>
      <c r="M158" s="251">
        <v>700</v>
      </c>
      <c r="N158" s="251">
        <v>0</v>
      </c>
      <c r="O158" s="251">
        <v>0</v>
      </c>
      <c r="P158" s="251">
        <v>100</v>
      </c>
      <c r="Q158" s="251">
        <v>0</v>
      </c>
      <c r="R158" s="251">
        <v>0</v>
      </c>
      <c r="S158" s="251">
        <v>200</v>
      </c>
      <c r="T158" s="253"/>
      <c r="U158" s="253"/>
      <c r="V158" s="365">
        <f t="shared" si="22"/>
        <v>200</v>
      </c>
    </row>
    <row r="159" spans="1:22" ht="11.25" customHeight="1">
      <c r="A159" s="126"/>
      <c r="B159" s="129" t="s">
        <v>769</v>
      </c>
      <c r="C159" s="15"/>
      <c r="D159" s="15"/>
      <c r="E159" s="367" t="s">
        <v>139</v>
      </c>
      <c r="F159" s="251"/>
      <c r="G159" s="251"/>
      <c r="H159" s="362"/>
      <c r="I159" s="362"/>
      <c r="J159" s="251"/>
      <c r="K159" s="251"/>
      <c r="L159" s="251"/>
      <c r="M159" s="251">
        <v>200</v>
      </c>
      <c r="N159" s="251">
        <v>0</v>
      </c>
      <c r="O159" s="251">
        <v>0</v>
      </c>
      <c r="P159" s="251">
        <v>0</v>
      </c>
      <c r="Q159" s="251">
        <v>0</v>
      </c>
      <c r="R159" s="251">
        <v>0</v>
      </c>
      <c r="S159" s="251">
        <v>15000</v>
      </c>
      <c r="T159" s="253"/>
      <c r="U159" s="253"/>
      <c r="V159" s="365">
        <f t="shared" si="22"/>
        <v>15000</v>
      </c>
    </row>
    <row r="160" spans="1:22" s="87" customFormat="1" ht="24.75" customHeight="1">
      <c r="A160" s="284" t="s">
        <v>747</v>
      </c>
      <c r="B160" s="415" t="s">
        <v>154</v>
      </c>
      <c r="C160" s="407"/>
      <c r="D160" s="407" t="s">
        <v>505</v>
      </c>
      <c r="E160" s="408"/>
      <c r="F160" s="413" t="e">
        <f>#REF!+F161+#REF!+F162</f>
        <v>#REF!</v>
      </c>
      <c r="G160" s="413" t="e">
        <f>#REF!+G161+#REF!+G162</f>
        <v>#REF!</v>
      </c>
      <c r="H160" s="411" t="e">
        <f aca="true" t="shared" si="24" ref="H160:H165">IF(F160&gt;0,G160/F160*100,"")</f>
        <v>#REF!</v>
      </c>
      <c r="I160" s="411" t="e">
        <f>F160/F180</f>
        <v>#REF!</v>
      </c>
      <c r="J160" s="413"/>
      <c r="K160" s="413" t="e">
        <f>K161+#REF!+K162</f>
        <v>#REF!</v>
      </c>
      <c r="L160" s="413" t="e">
        <f>L161+#REF!+L162</f>
        <v>#REF!</v>
      </c>
      <c r="M160" s="413" t="e">
        <f>M161+#REF!+M162</f>
        <v>#REF!</v>
      </c>
      <c r="N160" s="413" t="e">
        <f>N161+#REF!+N162</f>
        <v>#REF!</v>
      </c>
      <c r="O160" s="413" t="e">
        <f>O161+#REF!+O162</f>
        <v>#REF!</v>
      </c>
      <c r="P160" s="416">
        <f aca="true" t="shared" si="25" ref="P160:U160">P161+P162</f>
        <v>22890</v>
      </c>
      <c r="Q160" s="416">
        <f t="shared" si="25"/>
        <v>0</v>
      </c>
      <c r="R160" s="416">
        <f t="shared" si="25"/>
        <v>904</v>
      </c>
      <c r="S160" s="416">
        <f t="shared" si="25"/>
        <v>9346</v>
      </c>
      <c r="T160" s="416">
        <f t="shared" si="25"/>
        <v>0</v>
      </c>
      <c r="U160" s="416">
        <f t="shared" si="25"/>
        <v>0</v>
      </c>
      <c r="V160" s="414">
        <f t="shared" si="22"/>
        <v>9346</v>
      </c>
    </row>
    <row r="161" spans="1:22" ht="23.25" customHeight="1">
      <c r="A161" s="126"/>
      <c r="B161" s="129" t="s">
        <v>189</v>
      </c>
      <c r="C161" s="15"/>
      <c r="D161" s="15"/>
      <c r="E161" s="367" t="s">
        <v>137</v>
      </c>
      <c r="F161" s="251">
        <v>19580</v>
      </c>
      <c r="G161" s="251">
        <v>23550</v>
      </c>
      <c r="H161" s="362">
        <f t="shared" si="24"/>
        <v>120.27579162410622</v>
      </c>
      <c r="I161" s="362" t="e">
        <f>F161/F180</f>
        <v>#REF!</v>
      </c>
      <c r="J161" s="251"/>
      <c r="K161" s="251">
        <v>0</v>
      </c>
      <c r="L161" s="251">
        <v>0</v>
      </c>
      <c r="M161" s="251">
        <v>22560</v>
      </c>
      <c r="N161" s="251">
        <v>0</v>
      </c>
      <c r="O161" s="251">
        <v>0</v>
      </c>
      <c r="P161" s="251">
        <v>22740</v>
      </c>
      <c r="Q161" s="251">
        <v>0</v>
      </c>
      <c r="R161" s="251">
        <v>760</v>
      </c>
      <c r="S161" s="251">
        <v>9246</v>
      </c>
      <c r="T161" s="253"/>
      <c r="U161" s="253"/>
      <c r="V161" s="365">
        <f t="shared" si="22"/>
        <v>9246</v>
      </c>
    </row>
    <row r="162" spans="1:22" ht="12.75" customHeight="1">
      <c r="A162" s="126"/>
      <c r="B162" s="129" t="s">
        <v>752</v>
      </c>
      <c r="C162" s="15"/>
      <c r="D162" s="15"/>
      <c r="E162" s="367" t="s">
        <v>138</v>
      </c>
      <c r="F162" s="251">
        <v>1563</v>
      </c>
      <c r="G162" s="251">
        <v>1863</v>
      </c>
      <c r="H162" s="362">
        <f t="shared" si="24"/>
        <v>119.19385796545106</v>
      </c>
      <c r="I162" s="362" t="e">
        <f>F162/F180</f>
        <v>#REF!</v>
      </c>
      <c r="J162" s="251"/>
      <c r="K162" s="251">
        <v>0</v>
      </c>
      <c r="L162" s="251">
        <v>0</v>
      </c>
      <c r="M162" s="251">
        <v>100</v>
      </c>
      <c r="N162" s="251">
        <v>0</v>
      </c>
      <c r="O162" s="251">
        <v>0</v>
      </c>
      <c r="P162" s="251">
        <v>150</v>
      </c>
      <c r="Q162" s="251">
        <v>0</v>
      </c>
      <c r="R162" s="251">
        <v>144</v>
      </c>
      <c r="S162" s="251">
        <v>100</v>
      </c>
      <c r="T162" s="253"/>
      <c r="U162" s="253"/>
      <c r="V162" s="365">
        <f t="shared" si="22"/>
        <v>100</v>
      </c>
    </row>
    <row r="163" spans="1:22" s="87" customFormat="1" ht="16.5" customHeight="1">
      <c r="A163" s="284" t="s">
        <v>9</v>
      </c>
      <c r="B163" s="415" t="s">
        <v>508</v>
      </c>
      <c r="C163" s="407"/>
      <c r="D163" s="407" t="s">
        <v>507</v>
      </c>
      <c r="E163" s="408"/>
      <c r="F163" s="413">
        <f>F164+F165</f>
        <v>21680</v>
      </c>
      <c r="G163" s="413">
        <f>G164+G165</f>
        <v>17100</v>
      </c>
      <c r="H163" s="411">
        <f t="shared" si="24"/>
        <v>78.87453874538745</v>
      </c>
      <c r="I163" s="411" t="e">
        <f>F163/F180</f>
        <v>#REF!</v>
      </c>
      <c r="J163" s="413"/>
      <c r="K163" s="413">
        <f>K164+K165</f>
        <v>0</v>
      </c>
      <c r="L163" s="413">
        <f>L164+L165</f>
        <v>0</v>
      </c>
      <c r="M163" s="413" t="e">
        <f>M164+M165+#REF!</f>
        <v>#REF!</v>
      </c>
      <c r="N163" s="413" t="e">
        <f>N164+N165+#REF!</f>
        <v>#REF!</v>
      </c>
      <c r="O163" s="413" t="e">
        <f>O164+O165+#REF!</f>
        <v>#REF!</v>
      </c>
      <c r="P163" s="416" t="e">
        <f>P164+P165+#REF!+P166+P167</f>
        <v>#REF!</v>
      </c>
      <c r="Q163" s="416" t="e">
        <f>Q164+Q165+#REF!+Q166+Q167</f>
        <v>#REF!</v>
      </c>
      <c r="R163" s="416" t="e">
        <f>R164+R165+#REF!+R166+R167</f>
        <v>#REF!</v>
      </c>
      <c r="S163" s="416">
        <f>S164+S165+S166+S167+S168</f>
        <v>673451</v>
      </c>
      <c r="T163" s="416">
        <f>T164+T165+T166+T167+T168</f>
        <v>13374</v>
      </c>
      <c r="U163" s="416">
        <f>U164+U165+U166+U167+U168</f>
        <v>14710</v>
      </c>
      <c r="V163" s="414">
        <f t="shared" si="22"/>
        <v>672115</v>
      </c>
    </row>
    <row r="164" spans="1:22" ht="23.25" customHeight="1">
      <c r="A164" s="126"/>
      <c r="B164" s="129" t="s">
        <v>751</v>
      </c>
      <c r="C164" s="15"/>
      <c r="D164" s="15"/>
      <c r="E164" s="367" t="s">
        <v>137</v>
      </c>
      <c r="F164" s="251">
        <v>19535</v>
      </c>
      <c r="G164" s="251">
        <v>14800</v>
      </c>
      <c r="H164" s="362">
        <f t="shared" si="24"/>
        <v>75.76145380087024</v>
      </c>
      <c r="I164" s="362" t="e">
        <f>F164/F180</f>
        <v>#REF!</v>
      </c>
      <c r="J164" s="251"/>
      <c r="K164" s="251">
        <v>0</v>
      </c>
      <c r="L164" s="251">
        <v>0</v>
      </c>
      <c r="M164" s="251">
        <v>165726</v>
      </c>
      <c r="N164" s="251">
        <v>0</v>
      </c>
      <c r="O164" s="251">
        <v>0</v>
      </c>
      <c r="P164" s="251">
        <v>187501</v>
      </c>
      <c r="Q164" s="251">
        <v>0</v>
      </c>
      <c r="R164" s="251">
        <v>0</v>
      </c>
      <c r="S164" s="251">
        <v>133356</v>
      </c>
      <c r="T164" s="253"/>
      <c r="U164" s="253">
        <v>14710</v>
      </c>
      <c r="V164" s="365">
        <f t="shared" si="22"/>
        <v>118646</v>
      </c>
    </row>
    <row r="165" spans="1:22" ht="16.5" customHeight="1">
      <c r="A165" s="126"/>
      <c r="B165" s="275" t="s">
        <v>752</v>
      </c>
      <c r="C165" s="15"/>
      <c r="D165" s="15"/>
      <c r="E165" s="367" t="s">
        <v>138</v>
      </c>
      <c r="F165" s="251">
        <v>2145</v>
      </c>
      <c r="G165" s="251">
        <v>2300</v>
      </c>
      <c r="H165" s="362">
        <f t="shared" si="24"/>
        <v>107.22610722610723</v>
      </c>
      <c r="I165" s="362" t="e">
        <f>F165/F180</f>
        <v>#REF!</v>
      </c>
      <c r="J165" s="251"/>
      <c r="K165" s="251">
        <v>0</v>
      </c>
      <c r="L165" s="251">
        <v>0</v>
      </c>
      <c r="M165" s="251">
        <v>92012</v>
      </c>
      <c r="N165" s="251">
        <v>0</v>
      </c>
      <c r="O165" s="251">
        <v>0</v>
      </c>
      <c r="P165" s="251">
        <v>100384</v>
      </c>
      <c r="Q165" s="251">
        <v>0</v>
      </c>
      <c r="R165" s="251">
        <v>0</v>
      </c>
      <c r="S165" s="251">
        <v>86395</v>
      </c>
      <c r="T165" s="253"/>
      <c r="U165" s="253"/>
      <c r="V165" s="365">
        <f t="shared" si="22"/>
        <v>86395</v>
      </c>
    </row>
    <row r="166" spans="1:22" ht="15.75" customHeight="1">
      <c r="A166" s="126"/>
      <c r="B166" s="275" t="s">
        <v>745</v>
      </c>
      <c r="C166" s="15"/>
      <c r="D166" s="15"/>
      <c r="E166" s="367" t="s">
        <v>135</v>
      </c>
      <c r="F166" s="251"/>
      <c r="G166" s="251"/>
      <c r="H166" s="362"/>
      <c r="I166" s="362"/>
      <c r="J166" s="251"/>
      <c r="K166" s="251"/>
      <c r="L166" s="251"/>
      <c r="M166" s="251"/>
      <c r="N166" s="251"/>
      <c r="O166" s="251"/>
      <c r="P166" s="251">
        <v>4719</v>
      </c>
      <c r="Q166" s="251">
        <v>0</v>
      </c>
      <c r="R166" s="251">
        <v>0</v>
      </c>
      <c r="S166" s="251">
        <v>200</v>
      </c>
      <c r="T166" s="253"/>
      <c r="U166" s="253"/>
      <c r="V166" s="365">
        <f t="shared" si="22"/>
        <v>200</v>
      </c>
    </row>
    <row r="167" spans="1:22" ht="15.75" customHeight="1">
      <c r="A167" s="126"/>
      <c r="B167" s="275" t="s">
        <v>769</v>
      </c>
      <c r="C167" s="15"/>
      <c r="D167" s="15"/>
      <c r="E167" s="367" t="s">
        <v>139</v>
      </c>
      <c r="F167" s="251"/>
      <c r="G167" s="251"/>
      <c r="H167" s="362"/>
      <c r="I167" s="362"/>
      <c r="J167" s="251"/>
      <c r="K167" s="251"/>
      <c r="L167" s="251"/>
      <c r="M167" s="251"/>
      <c r="N167" s="251"/>
      <c r="O167" s="251"/>
      <c r="P167" s="251">
        <v>51569</v>
      </c>
      <c r="Q167" s="251">
        <v>0</v>
      </c>
      <c r="R167" s="251">
        <v>0</v>
      </c>
      <c r="S167" s="251">
        <v>3500</v>
      </c>
      <c r="T167" s="253">
        <v>13374</v>
      </c>
      <c r="U167" s="253"/>
      <c r="V167" s="365">
        <f t="shared" si="22"/>
        <v>16874</v>
      </c>
    </row>
    <row r="168" spans="1:22" s="33" customFormat="1" ht="24" customHeight="1">
      <c r="A168" s="285"/>
      <c r="B168" s="275" t="s">
        <v>651</v>
      </c>
      <c r="C168" s="24"/>
      <c r="D168" s="24"/>
      <c r="E168" s="367" t="s">
        <v>120</v>
      </c>
      <c r="F168" s="256"/>
      <c r="G168" s="256"/>
      <c r="H168" s="383"/>
      <c r="I168" s="383"/>
      <c r="J168" s="256"/>
      <c r="K168" s="256"/>
      <c r="L168" s="256"/>
      <c r="M168" s="256"/>
      <c r="N168" s="256"/>
      <c r="O168" s="256"/>
      <c r="P168" s="385"/>
      <c r="Q168" s="385"/>
      <c r="R168" s="385"/>
      <c r="S168" s="368">
        <v>450000</v>
      </c>
      <c r="T168" s="366"/>
      <c r="U168" s="366"/>
      <c r="V168" s="365">
        <f t="shared" si="22"/>
        <v>450000</v>
      </c>
    </row>
    <row r="169" spans="1:22" ht="15.75" customHeight="1">
      <c r="A169" s="126" t="s">
        <v>11</v>
      </c>
      <c r="B169" s="415" t="s">
        <v>106</v>
      </c>
      <c r="C169" s="417"/>
      <c r="D169" s="417" t="s">
        <v>509</v>
      </c>
      <c r="E169" s="408"/>
      <c r="F169" s="413"/>
      <c r="G169" s="413"/>
      <c r="H169" s="411"/>
      <c r="I169" s="411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>
        <f>S170+S171+S172</f>
        <v>408160</v>
      </c>
      <c r="T169" s="413">
        <f>T170+T171+T172</f>
        <v>248400</v>
      </c>
      <c r="U169" s="413">
        <f>U170+U171+U172</f>
        <v>0</v>
      </c>
      <c r="V169" s="414">
        <f t="shared" si="22"/>
        <v>656560</v>
      </c>
    </row>
    <row r="170" spans="1:22" ht="21.75" customHeight="1">
      <c r="A170" s="126"/>
      <c r="B170" s="129" t="s">
        <v>104</v>
      </c>
      <c r="C170" s="452"/>
      <c r="D170" s="452"/>
      <c r="E170" s="400" t="s">
        <v>355</v>
      </c>
      <c r="F170" s="387"/>
      <c r="G170" s="387"/>
      <c r="H170" s="398"/>
      <c r="I170" s="398"/>
      <c r="J170" s="387"/>
      <c r="K170" s="387"/>
      <c r="L170" s="387"/>
      <c r="M170" s="387"/>
      <c r="N170" s="387"/>
      <c r="O170" s="387"/>
      <c r="P170" s="387"/>
      <c r="Q170" s="387"/>
      <c r="R170" s="387"/>
      <c r="S170" s="387">
        <v>0</v>
      </c>
      <c r="T170" s="388">
        <v>248400</v>
      </c>
      <c r="U170" s="388"/>
      <c r="V170" s="443">
        <f t="shared" si="22"/>
        <v>248400</v>
      </c>
    </row>
    <row r="171" spans="1:22" s="33" customFormat="1" ht="46.5" customHeight="1">
      <c r="A171" s="284"/>
      <c r="B171" s="129" t="s">
        <v>67</v>
      </c>
      <c r="C171" s="47"/>
      <c r="D171" s="47"/>
      <c r="E171" s="364">
        <v>2888</v>
      </c>
      <c r="F171" s="360"/>
      <c r="G171" s="361"/>
      <c r="H171" s="362"/>
      <c r="I171" s="363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>
        <v>277549</v>
      </c>
      <c r="T171" s="253">
        <v>0</v>
      </c>
      <c r="U171" s="253"/>
      <c r="V171" s="365">
        <f t="shared" si="22"/>
        <v>277549</v>
      </c>
    </row>
    <row r="172" spans="1:22" s="33" customFormat="1" ht="44.25" customHeight="1">
      <c r="A172" s="284"/>
      <c r="B172" s="129" t="s">
        <v>67</v>
      </c>
      <c r="C172" s="47"/>
      <c r="D172" s="47"/>
      <c r="E172" s="364">
        <v>2889</v>
      </c>
      <c r="F172" s="360"/>
      <c r="G172" s="361"/>
      <c r="H172" s="362"/>
      <c r="I172" s="363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>
        <v>130611</v>
      </c>
      <c r="T172" s="253">
        <v>0</v>
      </c>
      <c r="U172" s="253"/>
      <c r="V172" s="365">
        <f t="shared" si="22"/>
        <v>130611</v>
      </c>
    </row>
    <row r="173" spans="1:23" s="33" customFormat="1" ht="25.5">
      <c r="A173" s="283" t="s">
        <v>107</v>
      </c>
      <c r="B173" s="266" t="s">
        <v>108</v>
      </c>
      <c r="C173" s="261">
        <v>900</v>
      </c>
      <c r="D173" s="261"/>
      <c r="E173" s="391"/>
      <c r="F173" s="378"/>
      <c r="G173" s="379"/>
      <c r="H173" s="370"/>
      <c r="I173" s="380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>
        <f>S174</f>
        <v>51350</v>
      </c>
      <c r="T173" s="359">
        <f>T174</f>
        <v>0</v>
      </c>
      <c r="U173" s="359">
        <f>U174</f>
        <v>0</v>
      </c>
      <c r="V173" s="395">
        <f t="shared" si="22"/>
        <v>51350</v>
      </c>
      <c r="W173" s="91"/>
    </row>
    <row r="174" spans="1:23" ht="25.5" customHeight="1">
      <c r="A174" s="284" t="s">
        <v>743</v>
      </c>
      <c r="B174" s="415" t="s">
        <v>482</v>
      </c>
      <c r="C174" s="426"/>
      <c r="D174" s="426">
        <v>90011</v>
      </c>
      <c r="E174" s="413"/>
      <c r="F174" s="409"/>
      <c r="G174" s="410"/>
      <c r="H174" s="411"/>
      <c r="I174" s="412"/>
      <c r="J174" s="413"/>
      <c r="K174" s="413"/>
      <c r="L174" s="413"/>
      <c r="M174" s="413"/>
      <c r="N174" s="413"/>
      <c r="O174" s="413"/>
      <c r="P174" s="413"/>
      <c r="Q174" s="413"/>
      <c r="R174" s="413"/>
      <c r="S174" s="413">
        <f>S175+S176</f>
        <v>51350</v>
      </c>
      <c r="T174" s="413">
        <f>T175+T176</f>
        <v>0</v>
      </c>
      <c r="U174" s="413">
        <f>U175+U176</f>
        <v>0</v>
      </c>
      <c r="V174" s="414">
        <f t="shared" si="22"/>
        <v>51350</v>
      </c>
      <c r="W174" s="36"/>
    </row>
    <row r="175" spans="1:23" ht="23.25" customHeight="1">
      <c r="A175" s="284"/>
      <c r="B175" s="129" t="s">
        <v>655</v>
      </c>
      <c r="C175" s="19"/>
      <c r="D175" s="19"/>
      <c r="E175" s="364">
        <v>2440</v>
      </c>
      <c r="F175" s="360"/>
      <c r="G175" s="361"/>
      <c r="H175" s="362"/>
      <c r="I175" s="363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>
        <v>6350</v>
      </c>
      <c r="T175" s="253">
        <v>0</v>
      </c>
      <c r="U175" s="253">
        <v>0</v>
      </c>
      <c r="V175" s="365">
        <f t="shared" si="22"/>
        <v>6350</v>
      </c>
      <c r="W175" s="36"/>
    </row>
    <row r="176" spans="1:36" ht="34.5" customHeight="1">
      <c r="A176" s="285"/>
      <c r="B176" s="129" t="s">
        <v>654</v>
      </c>
      <c r="C176" s="19"/>
      <c r="D176" s="19"/>
      <c r="E176" s="364">
        <v>6260</v>
      </c>
      <c r="F176" s="360"/>
      <c r="G176" s="361"/>
      <c r="H176" s="362"/>
      <c r="I176" s="363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>
        <v>45000</v>
      </c>
      <c r="T176" s="253">
        <v>0</v>
      </c>
      <c r="U176" s="253"/>
      <c r="V176" s="365">
        <f t="shared" si="22"/>
        <v>45000</v>
      </c>
      <c r="W176" s="217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</row>
    <row r="177" spans="1:22" s="33" customFormat="1" ht="23.25" customHeight="1">
      <c r="A177" s="283" t="s">
        <v>109</v>
      </c>
      <c r="B177" s="266" t="s">
        <v>622</v>
      </c>
      <c r="C177" s="261">
        <v>921</v>
      </c>
      <c r="D177" s="218"/>
      <c r="E177" s="391"/>
      <c r="F177" s="378"/>
      <c r="G177" s="379"/>
      <c r="H177" s="370"/>
      <c r="I177" s="380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>
        <f>S179</f>
        <v>65000</v>
      </c>
      <c r="T177" s="359">
        <f>T179</f>
        <v>0</v>
      </c>
      <c r="U177" s="359">
        <f>U179</f>
        <v>65000</v>
      </c>
      <c r="V177" s="395">
        <f t="shared" si="22"/>
        <v>0</v>
      </c>
    </row>
    <row r="178" spans="1:22" s="293" customFormat="1" ht="23.25" customHeight="1">
      <c r="A178" s="290" t="s">
        <v>743</v>
      </c>
      <c r="B178" s="415" t="s">
        <v>518</v>
      </c>
      <c r="C178" s="426"/>
      <c r="D178" s="429">
        <v>92116</v>
      </c>
      <c r="E178" s="422"/>
      <c r="F178" s="409"/>
      <c r="G178" s="410"/>
      <c r="H178" s="411"/>
      <c r="I178" s="412"/>
      <c r="J178" s="413"/>
      <c r="K178" s="413"/>
      <c r="L178" s="413"/>
      <c r="M178" s="413"/>
      <c r="N178" s="413"/>
      <c r="O178" s="413"/>
      <c r="P178" s="413"/>
      <c r="Q178" s="413"/>
      <c r="R178" s="413"/>
      <c r="S178" s="413">
        <f>S179</f>
        <v>65000</v>
      </c>
      <c r="T178" s="413">
        <f>T179</f>
        <v>0</v>
      </c>
      <c r="U178" s="413">
        <f>U179</f>
        <v>65000</v>
      </c>
      <c r="V178" s="414">
        <f t="shared" si="22"/>
        <v>0</v>
      </c>
    </row>
    <row r="179" spans="1:22" s="33" customFormat="1" ht="25.5" customHeight="1" thickBot="1">
      <c r="A179" s="298"/>
      <c r="B179" s="129" t="s">
        <v>652</v>
      </c>
      <c r="C179" s="47"/>
      <c r="D179" s="47"/>
      <c r="E179" s="364">
        <v>6630</v>
      </c>
      <c r="F179" s="360"/>
      <c r="G179" s="361"/>
      <c r="H179" s="362"/>
      <c r="I179" s="363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>
        <v>65000</v>
      </c>
      <c r="T179" s="253"/>
      <c r="U179" s="253">
        <v>65000</v>
      </c>
      <c r="V179" s="368">
        <f t="shared" si="22"/>
        <v>0</v>
      </c>
    </row>
    <row r="180" spans="1:22" ht="18.75" customHeight="1" thickBot="1">
      <c r="A180" s="295"/>
      <c r="B180" s="461" t="s">
        <v>86</v>
      </c>
      <c r="C180" s="462"/>
      <c r="D180" s="462"/>
      <c r="E180" s="462"/>
      <c r="F180" s="463" t="e">
        <f>#REF!+#REF!+#REF!+#REF!+#REF!+#REF!+#REF!+#REF!</f>
        <v>#REF!</v>
      </c>
      <c r="G180" s="464" t="e">
        <f>#REF!+#REF!+#REF!+#REF!+#REF!+#REF!+#REF!+#REF!+#REF!+#REF!+#REF!+#REF!</f>
        <v>#REF!</v>
      </c>
      <c r="H180" s="465" t="e">
        <f>IF(F180&gt;0,G180/F180*100,"")</f>
        <v>#REF!</v>
      </c>
      <c r="I180" s="466" t="e">
        <f>F180/F180</f>
        <v>#REF!</v>
      </c>
      <c r="J180" s="467"/>
      <c r="K180" s="467" t="e">
        <f>#REF!+#REF!+#REF!+#REF!+#REF!+#REF!+#REF!+#REF!+#REF!</f>
        <v>#REF!</v>
      </c>
      <c r="L180" s="467" t="e">
        <f>#REF!+#REF!+#REF!+#REF!+#REF!+#REF!++#REF!+#REF!+#REF!</f>
        <v>#REF!</v>
      </c>
      <c r="M180" s="468" t="e">
        <f>#REF!+#REF!+#REF!+#REF!+#REF!+#REF!+#REF!+#REF!+#REF!+#REF!+#REF!</f>
        <v>#REF!</v>
      </c>
      <c r="N180" s="468" t="e">
        <f>#REF!+#REF!+#REF!+#REF!+#REF!+#REF!+#REF!+#REF!+#REF!+#REF!+#REF!</f>
        <v>#REF!</v>
      </c>
      <c r="O180" s="468" t="e">
        <f>#REF!+#REF!+#REF!+#REF!+#REF!+#REF!+#REF!+#REF!+#REF!+#REF!+#REF!</f>
        <v>#REF!</v>
      </c>
      <c r="P180" s="468" t="e">
        <f>#REF!+#REF!+#REF!+#REF!+#REF!+#REF!+#REF!+#REF!+#REF!+#REF!+#REF!+#REF!</f>
        <v>#REF!</v>
      </c>
      <c r="Q180" s="468" t="e">
        <f>#REF!+#REF!+#REF!+#REF!+#REF!+#REF!+#REF!+#REF!+#REF!+#REF!+#REF!+#REF!</f>
        <v>#REF!</v>
      </c>
      <c r="R180" s="468" t="e">
        <f>#REF!+#REF!+#REF!+#REF!+#REF!+#REF!+#REF!+#REF!+#REF!+#REF!+#REF!+#REF!</f>
        <v>#REF!</v>
      </c>
      <c r="S180" s="468">
        <f>S11+S18+S21+S34+S42+S49+S60+S74+S78+S93+S108+S113+S122+S140+S153+S173+S177</f>
        <v>34784162</v>
      </c>
      <c r="T180" s="468">
        <f>T11+T18+T21+T34+T42+T49+T60+T74+T78+T93+T108+T113+T122+T140+T153+T173+T177</f>
        <v>1120672</v>
      </c>
      <c r="U180" s="468">
        <f>U11+U18+U21+U34+U42+U49+U60+U74+U78+U93+U108+U113+U122+U140+U153+U173+U177</f>
        <v>83448</v>
      </c>
      <c r="V180" s="469">
        <f>S180+T180-U180</f>
        <v>35821386</v>
      </c>
    </row>
    <row r="181" spans="1:22" ht="15.75" customHeight="1">
      <c r="A181" s="296"/>
      <c r="B181" s="516" t="s">
        <v>87</v>
      </c>
      <c r="C181" s="483"/>
      <c r="D181" s="483"/>
      <c r="E181" s="484"/>
      <c r="F181" s="54" t="e">
        <f>#REF!+#REF!+#REF!+#REF!+#REF!+#REF!</f>
        <v>#REF!</v>
      </c>
      <c r="G181" s="152" t="e">
        <f>#REF!+#REF!+#REF!+#REF!+#REF!+#REF!</f>
        <v>#REF!</v>
      </c>
      <c r="H181" s="150" t="e">
        <f>IF(F181&gt;0,G181/F181*100,"")</f>
        <v>#REF!</v>
      </c>
      <c r="I181" s="144" t="e">
        <f>F181/F180</f>
        <v>#REF!</v>
      </c>
      <c r="J181" s="35"/>
      <c r="K181" s="35" t="e">
        <f>#REF!+#REF!+#REF!+#REF!+#REF!+#REF!</f>
        <v>#REF!</v>
      </c>
      <c r="L181" s="35" t="e">
        <f>#REF!+#REF!+#REF!+#REF!+#REF!+#REF!</f>
        <v>#REF!</v>
      </c>
      <c r="M181" s="153" t="e">
        <f>#REF!+#REF!+#REF!+#REF!+#REF!+#REF!+#REF!+#REF!+#REF!</f>
        <v>#REF!</v>
      </c>
      <c r="N181" s="153" t="e">
        <f>#REF!+#REF!+#REF!+#REF!+#REF!+#REF!+#REF!+#REF!+#REF!</f>
        <v>#REF!</v>
      </c>
      <c r="O181" s="153" t="e">
        <f>#REF!+#REF!+#REF!+#REF!+#REF!+#REF!+#REF!+#REF!+#REF!</f>
        <v>#REF!</v>
      </c>
      <c r="P181" s="153" t="e">
        <f>#REF!+#REF!+#REF!+#REF!+#REF!+#REF!+#REF!</f>
        <v>#REF!</v>
      </c>
      <c r="Q181" s="153" t="e">
        <f>#REF!+#REF!+#REF!+#REF!+#REF!+#REF!+#REF!</f>
        <v>#REF!</v>
      </c>
      <c r="R181" s="153" t="e">
        <f>#REF!+#REF!+#REF!+#REF!+#REF!+#REF!+#REF!</f>
        <v>#REF!</v>
      </c>
      <c r="S181" s="153">
        <f>S182+S183+S184+S185+S186</f>
        <v>13244996</v>
      </c>
      <c r="T181" s="153">
        <f>T182+T183+T184+T185+T186</f>
        <v>899811</v>
      </c>
      <c r="U181" s="153">
        <f>U182+U183+U184+U185+U186</f>
        <v>66000</v>
      </c>
      <c r="V181" s="302">
        <f t="shared" si="22"/>
        <v>14078807</v>
      </c>
    </row>
    <row r="182" spans="1:22" ht="14.25" customHeight="1">
      <c r="A182" s="126"/>
      <c r="B182" s="513" t="s">
        <v>145</v>
      </c>
      <c r="C182" s="514"/>
      <c r="D182" s="514"/>
      <c r="E182" s="515"/>
      <c r="F182" s="5" t="e">
        <f>#REF!+#REF!</f>
        <v>#REF!</v>
      </c>
      <c r="G182" s="89" t="e">
        <f>#REF!+#REF!</f>
        <v>#REF!</v>
      </c>
      <c r="H182" s="88" t="e">
        <f>IF(F182&gt;0,G182/F182*100,"")</f>
        <v>#REF!</v>
      </c>
      <c r="I182" s="6" t="e">
        <f>F182/F180</f>
        <v>#REF!</v>
      </c>
      <c r="J182" s="8"/>
      <c r="K182" s="8" t="e">
        <f>#REF!</f>
        <v>#REF!</v>
      </c>
      <c r="L182" s="8" t="e">
        <f>#REF!</f>
        <v>#REF!</v>
      </c>
      <c r="M182" s="92" t="e">
        <f>#REF!</f>
        <v>#REF!</v>
      </c>
      <c r="N182" s="92" t="e">
        <f>#REF!</f>
        <v>#REF!</v>
      </c>
      <c r="O182" s="92" t="e">
        <f>#REF!</f>
        <v>#REF!</v>
      </c>
      <c r="P182" s="92" t="e">
        <f>#REF!</f>
        <v>#REF!</v>
      </c>
      <c r="Q182" s="92" t="e">
        <f>#REF!</f>
        <v>#REF!</v>
      </c>
      <c r="R182" s="92" t="e">
        <f>#REF!</f>
        <v>#REF!</v>
      </c>
      <c r="S182" s="92">
        <f>S127+S133+S139+S170</f>
        <v>549538</v>
      </c>
      <c r="T182" s="92">
        <f>T127+T133+T139+T170</f>
        <v>248400</v>
      </c>
      <c r="U182" s="92">
        <f>U127+U133+U139+U170</f>
        <v>0</v>
      </c>
      <c r="V182" s="300">
        <f t="shared" si="22"/>
        <v>797938</v>
      </c>
    </row>
    <row r="183" spans="1:22" ht="13.5" customHeight="1">
      <c r="A183" s="126"/>
      <c r="B183" s="513" t="s">
        <v>192</v>
      </c>
      <c r="C183" s="514"/>
      <c r="D183" s="514"/>
      <c r="E183" s="515"/>
      <c r="F183" s="5" t="e">
        <f>#REF!</f>
        <v>#REF!</v>
      </c>
      <c r="G183" s="89" t="e">
        <f>#REF!</f>
        <v>#REF!</v>
      </c>
      <c r="H183" s="88" t="e">
        <f>IF(F183&gt;0,G183/F183*100,"")</f>
        <v>#REF!</v>
      </c>
      <c r="I183" s="6" t="e">
        <f>F183/F180</f>
        <v>#REF!</v>
      </c>
      <c r="J183" s="8"/>
      <c r="K183" s="8" t="e">
        <f>#REF!</f>
        <v>#REF!</v>
      </c>
      <c r="L183" s="8" t="e">
        <f>#REF!</f>
        <v>#REF!</v>
      </c>
      <c r="M183" s="92" t="e">
        <f>#REF!</f>
        <v>#REF!</v>
      </c>
      <c r="N183" s="92" t="e">
        <f>#REF!</f>
        <v>#REF!</v>
      </c>
      <c r="O183" s="92" t="e">
        <f>#REF!</f>
        <v>#REF!</v>
      </c>
      <c r="P183" s="92" t="e">
        <f>#REF!</f>
        <v>#REF!</v>
      </c>
      <c r="Q183" s="92" t="e">
        <f>#REF!</f>
        <v>#REF!</v>
      </c>
      <c r="R183" s="92" t="e">
        <f>#REF!</f>
        <v>#REF!</v>
      </c>
      <c r="S183" s="92">
        <f>S13+S41+S44+S46+S48+S51+S59+S62+S73+S121</f>
        <v>3206295</v>
      </c>
      <c r="T183" s="92">
        <f>T13+T41+T44+T46+T48+T51+T59+T62+T73+T121</f>
        <v>0</v>
      </c>
      <c r="U183" s="92">
        <f>U13+U41+U44+U46+U48+U51+U59+U62+U73+U121</f>
        <v>0</v>
      </c>
      <c r="V183" s="300">
        <f t="shared" si="22"/>
        <v>3206295</v>
      </c>
    </row>
    <row r="184" spans="1:22" ht="13.5" customHeight="1">
      <c r="A184" s="126"/>
      <c r="B184" s="510" t="s">
        <v>149</v>
      </c>
      <c r="C184" s="511"/>
      <c r="D184" s="511"/>
      <c r="E184" s="512"/>
      <c r="F184" s="5" t="e">
        <f>#REF!+#REF!+#REF!</f>
        <v>#REF!</v>
      </c>
      <c r="G184" s="89" t="e">
        <f>#REF!+#REF!</f>
        <v>#REF!</v>
      </c>
      <c r="H184" s="88" t="e">
        <f>IF(F184&gt;0,G184/F184*100,"")</f>
        <v>#REF!</v>
      </c>
      <c r="I184" s="6" t="e">
        <f>F184/F180</f>
        <v>#REF!</v>
      </c>
      <c r="J184" s="8"/>
      <c r="K184" s="8" t="e">
        <f>#REF!+#REF!</f>
        <v>#REF!</v>
      </c>
      <c r="L184" s="8" t="e">
        <f>#REF!+#REF!</f>
        <v>#REF!</v>
      </c>
      <c r="M184" s="92" t="e">
        <f>#REF!+#REF!+#REF!+#REF!</f>
        <v>#REF!</v>
      </c>
      <c r="N184" s="92" t="e">
        <f>#REF!+#REF!+#REF!+#REF!</f>
        <v>#REF!</v>
      </c>
      <c r="O184" s="92" t="e">
        <f>#REF!+#REF!+#REF!+#REF!</f>
        <v>#REF!</v>
      </c>
      <c r="P184" s="92" t="e">
        <f>#REF!+#REF!+#REF!</f>
        <v>#REF!</v>
      </c>
      <c r="Q184" s="92" t="e">
        <f>#REF!+#REF!+#REF!</f>
        <v>#REF!</v>
      </c>
      <c r="R184" s="92" t="e">
        <f>#REF!+#REF!+#REF!</f>
        <v>#REF!</v>
      </c>
      <c r="S184" s="92">
        <f>S63+S64+S32+S33+S107+S128+S136+S171+S172+S111+S112+S119+S179</f>
        <v>1431498</v>
      </c>
      <c r="T184" s="92">
        <f>T63+T64+T32+T33+T107+T128+T136+T171+T172+T111+T112+T119+T179</f>
        <v>290000</v>
      </c>
      <c r="U184" s="92">
        <f>U63+U64+U32+U33+U107+U128+U136+U171+U172+U111+U112+U119+U179</f>
        <v>65000</v>
      </c>
      <c r="V184" s="300">
        <f t="shared" si="22"/>
        <v>1656498</v>
      </c>
    </row>
    <row r="185" spans="1:22" ht="16.5" customHeight="1">
      <c r="A185" s="126"/>
      <c r="B185" s="510" t="s">
        <v>590</v>
      </c>
      <c r="C185" s="511"/>
      <c r="D185" s="511"/>
      <c r="E185" s="512"/>
      <c r="F185" s="5"/>
      <c r="G185" s="89"/>
      <c r="H185" s="88"/>
      <c r="I185" s="6"/>
      <c r="J185" s="8"/>
      <c r="K185" s="8"/>
      <c r="L185" s="8"/>
      <c r="M185" s="92"/>
      <c r="N185" s="92"/>
      <c r="O185" s="92"/>
      <c r="P185" s="92"/>
      <c r="Q185" s="92"/>
      <c r="R185" s="92"/>
      <c r="S185" s="92">
        <f>S15+S143+S144+S149+S175+S176</f>
        <v>889230</v>
      </c>
      <c r="T185" s="92">
        <f>T15+T143+T144+T149+T175+T176</f>
        <v>0</v>
      </c>
      <c r="U185" s="92">
        <f>U15+U143+U144+U149+U175+U176</f>
        <v>1000</v>
      </c>
      <c r="V185" s="300">
        <f t="shared" si="22"/>
        <v>888230</v>
      </c>
    </row>
    <row r="186" spans="1:22" ht="13.5" customHeight="1" thickBot="1">
      <c r="A186" s="126"/>
      <c r="B186" s="507" t="s">
        <v>150</v>
      </c>
      <c r="C186" s="508"/>
      <c r="D186" s="508"/>
      <c r="E186" s="509"/>
      <c r="F186" s="65"/>
      <c r="G186" s="65"/>
      <c r="H186" s="65"/>
      <c r="I186" s="65"/>
      <c r="J186" s="65"/>
      <c r="K186" s="65"/>
      <c r="L186" s="65"/>
      <c r="M186" s="431" t="e">
        <f>#REF!</f>
        <v>#REF!</v>
      </c>
      <c r="N186" s="431" t="e">
        <f>#REF!</f>
        <v>#REF!</v>
      </c>
      <c r="O186" s="431" t="e">
        <f>#REF!</f>
        <v>#REF!</v>
      </c>
      <c r="P186" s="431" t="e">
        <f>#REF!+#REF!</f>
        <v>#REF!</v>
      </c>
      <c r="Q186" s="431" t="e">
        <f>#REF!+#REF!</f>
        <v>#REF!</v>
      </c>
      <c r="R186" s="431" t="e">
        <f>#REF!+#REF!</f>
        <v>#REF!</v>
      </c>
      <c r="S186" s="431">
        <f>S20+S29+S30+S31+S117+S118+S150+S168</f>
        <v>7168435</v>
      </c>
      <c r="T186" s="431">
        <f>T20+T29+T30+T31+T117+T118+T150+T168</f>
        <v>361411</v>
      </c>
      <c r="U186" s="431">
        <f>U20+U29+U30+U31+U117+U118+U150+U168</f>
        <v>0</v>
      </c>
      <c r="V186" s="432">
        <f t="shared" si="22"/>
        <v>7529846</v>
      </c>
    </row>
    <row r="187" spans="1:23" ht="14.25" customHeight="1" thickBot="1">
      <c r="A187" s="430"/>
      <c r="B187" s="504" t="s">
        <v>110</v>
      </c>
      <c r="C187" s="505"/>
      <c r="D187" s="505"/>
      <c r="E187" s="506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>
        <f>S17+S23+S24+S25+S26+S27+S28+S36+S37+S38+S39+S40+S53+S54+S55+S56+S57+S76+S77+S87+S95+S96+S97+S98+S100+S101+S102+S103+S104+S105+S110+S115+S116+S124+S125+S126+S130+S131+S132+S135+S138+S142+S146+S147+S148+S155+S156+S157+S158+S159+S161+S162+S164+S165+S166+S167</f>
        <v>5232074</v>
      </c>
      <c r="T187" s="61">
        <f>T17+T23+T24+T25+T26+T27+T28+T36+T37+T38+T39+T40+T53+T54+T55+T56+T57+T76+T77+T87+T95+T96+T97+T98+T100+T101+T102+T103+T104+T105+T110+T115+T116+T124+T125+T126+T130+T131+T132+T135+T138+T142+T146+T147+T148+T155+T156+T157+T158+T159+T161+T162+T164+T165+T166+T167</f>
        <v>20861</v>
      </c>
      <c r="U187" s="61">
        <f>U17+U23+U24+U25+U26+U27+U28+U36+U37+U38+U39+U40+U53+U54+U55+U56+U57+U76+U77+U87+U95+U96+U97+U98+U100+U101+U102+U103+U104+U105+U110+U115+U116+U124+U125+U126+U130+U131+U132+U135+U138+U142+U146+U147+U148+U155+U156+U157+U158+U159+U161+U162+U164+U165+U166+U167</f>
        <v>17448</v>
      </c>
      <c r="V187" s="433">
        <f>V17+V23+V24+V25+V26+V27+V28+V36+V37+V38+V39+V40+V53+V54+V55+V56+V57+V76+V77+V87+V95+V96+V97+V98+V100+V101+V102+V103+V104+V105+V110+V115+V116+V124+V125+V126+V130+V131+V132+V135+V138+V142+V146+V147+V148+V155+V156+V158+V159+V161+V162+V164+V165+V166+V167</f>
        <v>5232749</v>
      </c>
      <c r="W187" s="274"/>
    </row>
    <row r="188" spans="2:23" ht="14.25" customHeight="1">
      <c r="B188" t="s">
        <v>255</v>
      </c>
      <c r="V188" s="274"/>
      <c r="W188" s="274"/>
    </row>
    <row r="189" spans="22:23" ht="14.25" customHeight="1">
      <c r="V189" s="274"/>
      <c r="W189" s="274"/>
    </row>
    <row r="190" spans="16:23" ht="12.75">
      <c r="P190" t="s">
        <v>197</v>
      </c>
      <c r="V190" s="274"/>
      <c r="W190" s="274"/>
    </row>
    <row r="191" spans="22:23" ht="12.75">
      <c r="V191" s="274"/>
      <c r="W191" s="274"/>
    </row>
    <row r="192" spans="22:23" ht="12.75">
      <c r="V192" s="274"/>
      <c r="W192" s="274"/>
    </row>
    <row r="193" spans="22:23" ht="12.75">
      <c r="V193" s="274"/>
      <c r="W193" s="274"/>
    </row>
    <row r="194" spans="22:23" ht="12.75">
      <c r="V194" s="274"/>
      <c r="W194" s="274"/>
    </row>
    <row r="195" spans="22:23" ht="12.75">
      <c r="V195" s="274"/>
      <c r="W195" s="274"/>
    </row>
    <row r="196" spans="22:23" ht="12.75">
      <c r="V196" s="274"/>
      <c r="W196" s="274"/>
    </row>
  </sheetData>
  <mergeCells count="28">
    <mergeCell ref="U6:U9"/>
    <mergeCell ref="C1:V2"/>
    <mergeCell ref="B187:E187"/>
    <mergeCell ref="B186:E186"/>
    <mergeCell ref="B185:E185"/>
    <mergeCell ref="B184:E184"/>
    <mergeCell ref="B183:E183"/>
    <mergeCell ref="B182:E182"/>
    <mergeCell ref="B181:E181"/>
    <mergeCell ref="V6:V9"/>
    <mergeCell ref="F7:F9"/>
    <mergeCell ref="G7:G9"/>
    <mergeCell ref="H7:H9"/>
    <mergeCell ref="K7:K9"/>
    <mergeCell ref="L7:L9"/>
    <mergeCell ref="N7:N9"/>
    <mergeCell ref="O7:O9"/>
    <mergeCell ref="I8:I9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18"/>
  <sheetViews>
    <sheetView zoomScaleSheetLayoutView="75" workbookViewId="0" topLeftCell="B1">
      <selection activeCell="S29" sqref="S29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3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7539062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83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478" t="s">
        <v>774</v>
      </c>
      <c r="P1" s="478"/>
      <c r="Q1" s="478"/>
    </row>
    <row r="2" spans="1:26" s="183" customFormat="1" ht="15.75" thickBot="1">
      <c r="A2"/>
      <c r="B2" s="480" t="s">
        <v>755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324"/>
      <c r="S2" s="324"/>
      <c r="T2" s="324"/>
      <c r="U2" s="324"/>
      <c r="V2" s="479"/>
      <c r="W2" s="479"/>
      <c r="X2" s="479"/>
      <c r="Y2" s="479"/>
      <c r="Z2" s="479"/>
    </row>
    <row r="3" spans="1:17" s="183" customFormat="1" ht="19.5" customHeight="1" hidden="1" thickBot="1">
      <c r="A3"/>
      <c r="B3" s="10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spans="1:17" s="183" customFormat="1" ht="10.5" customHeight="1" thickBot="1">
      <c r="A4" s="527" t="s">
        <v>233</v>
      </c>
      <c r="B4" s="525" t="s">
        <v>234</v>
      </c>
      <c r="C4" s="533" t="s">
        <v>235</v>
      </c>
      <c r="D4" s="137"/>
      <c r="E4" s="137"/>
      <c r="F4" s="137"/>
      <c r="G4" s="137"/>
      <c r="H4" s="533" t="s">
        <v>230</v>
      </c>
      <c r="I4" s="531" t="s">
        <v>91</v>
      </c>
      <c r="J4" s="532"/>
      <c r="K4" s="533" t="s">
        <v>63</v>
      </c>
      <c r="L4" s="533" t="s">
        <v>36</v>
      </c>
      <c r="M4" s="543" t="s">
        <v>37</v>
      </c>
      <c r="N4" s="533" t="s">
        <v>35</v>
      </c>
      <c r="O4" s="472" t="s">
        <v>240</v>
      </c>
      <c r="P4" s="473"/>
      <c r="Q4" s="470"/>
    </row>
    <row r="5" spans="1:17" s="183" customFormat="1" ht="9" customHeight="1">
      <c r="A5" s="528"/>
      <c r="B5" s="526"/>
      <c r="C5" s="534"/>
      <c r="D5" s="476" t="s">
        <v>236</v>
      </c>
      <c r="E5" s="474" t="s">
        <v>237</v>
      </c>
      <c r="F5" s="474" t="s">
        <v>238</v>
      </c>
      <c r="G5" s="536" t="s">
        <v>239</v>
      </c>
      <c r="H5" s="534"/>
      <c r="I5" s="471" t="s">
        <v>737</v>
      </c>
      <c r="J5" s="529" t="s">
        <v>738</v>
      </c>
      <c r="K5" s="534"/>
      <c r="L5" s="534"/>
      <c r="M5" s="544"/>
      <c r="N5" s="534"/>
      <c r="O5" s="517"/>
      <c r="P5" s="518"/>
      <c r="Q5" s="519"/>
    </row>
    <row r="6" spans="1:17" s="183" customFormat="1" ht="6.75" customHeight="1" thickBot="1">
      <c r="A6" s="528"/>
      <c r="B6" s="526"/>
      <c r="C6" s="534"/>
      <c r="D6" s="477"/>
      <c r="E6" s="474"/>
      <c r="F6" s="474"/>
      <c r="G6" s="536"/>
      <c r="H6" s="534"/>
      <c r="I6" s="542"/>
      <c r="J6" s="530"/>
      <c r="K6" s="534"/>
      <c r="L6" s="534"/>
      <c r="M6" s="544"/>
      <c r="N6" s="534"/>
      <c r="O6" s="520"/>
      <c r="P6" s="521"/>
      <c r="Q6" s="522"/>
    </row>
    <row r="7" spans="1:17" s="183" customFormat="1" ht="19.5" customHeight="1" thickBot="1">
      <c r="A7" s="528"/>
      <c r="B7" s="526"/>
      <c r="C7" s="534"/>
      <c r="D7" s="471"/>
      <c r="E7" s="475"/>
      <c r="F7" s="475"/>
      <c r="G7" s="537"/>
      <c r="H7" s="534"/>
      <c r="I7" s="542"/>
      <c r="J7" s="530"/>
      <c r="K7" s="540"/>
      <c r="L7" s="540"/>
      <c r="M7" s="545"/>
      <c r="N7" s="540"/>
      <c r="O7" s="151" t="s">
        <v>241</v>
      </c>
      <c r="P7" s="151" t="s">
        <v>771</v>
      </c>
      <c r="Q7" s="151" t="s">
        <v>242</v>
      </c>
    </row>
    <row r="8" spans="1:17" s="183" customFormat="1" ht="12" customHeight="1" thickBot="1">
      <c r="A8" s="119">
        <v>1</v>
      </c>
      <c r="B8" s="120">
        <v>2</v>
      </c>
      <c r="C8" s="121">
        <v>3</v>
      </c>
      <c r="D8" s="121">
        <v>4</v>
      </c>
      <c r="E8" s="121">
        <v>4</v>
      </c>
      <c r="F8" s="121">
        <v>5</v>
      </c>
      <c r="G8" s="121">
        <v>6</v>
      </c>
      <c r="H8" s="121">
        <v>5</v>
      </c>
      <c r="I8" s="121"/>
      <c r="J8" s="121"/>
      <c r="K8" s="143">
        <v>5</v>
      </c>
      <c r="L8" s="143">
        <v>6</v>
      </c>
      <c r="M8" s="143">
        <v>7</v>
      </c>
      <c r="N8" s="143">
        <v>8</v>
      </c>
      <c r="O8" s="60">
        <v>9</v>
      </c>
      <c r="P8" s="121">
        <v>10</v>
      </c>
      <c r="Q8" s="121">
        <v>11</v>
      </c>
    </row>
    <row r="9" spans="1:17" s="183" customFormat="1" ht="15" customHeight="1">
      <c r="A9" s="171" t="s">
        <v>243</v>
      </c>
      <c r="B9" s="538"/>
      <c r="C9" s="172" t="s">
        <v>245</v>
      </c>
      <c r="D9" s="172">
        <f>D10+D27</f>
        <v>303000</v>
      </c>
      <c r="E9" s="172">
        <f>E10+E27</f>
        <v>373400</v>
      </c>
      <c r="F9" s="172">
        <f>F10+F27</f>
        <v>0</v>
      </c>
      <c r="G9" s="172">
        <f>G10+G27</f>
        <v>0</v>
      </c>
      <c r="H9" s="172">
        <f>H10+H27+H25+H29</f>
        <v>91800</v>
      </c>
      <c r="I9" s="172">
        <f>I10+I27+I25+I29</f>
        <v>0</v>
      </c>
      <c r="J9" s="172">
        <f>J10+J27+J25+J29</f>
        <v>0</v>
      </c>
      <c r="K9" s="172">
        <f aca="true" t="shared" si="0" ref="K9:Q9">K27+K29</f>
        <v>31700</v>
      </c>
      <c r="L9" s="172">
        <f t="shared" si="0"/>
        <v>0</v>
      </c>
      <c r="M9" s="172">
        <f t="shared" si="0"/>
        <v>0</v>
      </c>
      <c r="N9" s="172">
        <f t="shared" si="0"/>
        <v>31700</v>
      </c>
      <c r="O9" s="172">
        <f t="shared" si="0"/>
        <v>30000</v>
      </c>
      <c r="P9" s="172">
        <f t="shared" si="0"/>
        <v>0</v>
      </c>
      <c r="Q9" s="172">
        <f t="shared" si="0"/>
        <v>1700</v>
      </c>
    </row>
    <row r="10" spans="1:17" s="183" customFormat="1" ht="17.25" customHeight="1" hidden="1">
      <c r="A10" s="14" t="s">
        <v>246</v>
      </c>
      <c r="B10" s="539"/>
      <c r="C10" s="7" t="s">
        <v>247</v>
      </c>
      <c r="D10" s="7">
        <f>D13+D14+D15+D16+D24</f>
        <v>303000</v>
      </c>
      <c r="E10" s="7">
        <f>E12+E13+E14+E15+E16+E17+E18+E19+E21+E22+E24+E11</f>
        <v>336000</v>
      </c>
      <c r="F10" s="7">
        <f>F12+F13+F14+F15+F16+F17+F18+F19+F21+F22+F11</f>
        <v>0</v>
      </c>
      <c r="G10" s="7">
        <f>G12+G13+G14+G15+G16+G17+G18+G19+G21+G22+G24+G11</f>
        <v>0</v>
      </c>
      <c r="H10" s="7">
        <f>H12+H13+H14+H15+H16+H17+H18+H19+H21+H22+H24+H11+H20+H23</f>
        <v>45600</v>
      </c>
      <c r="I10" s="7">
        <f>I12+I13+I14+I15+I16+I17+I18+I19+I21+I22+I24+I11+I20+I23</f>
        <v>0</v>
      </c>
      <c r="J10" s="7">
        <f>J12+J13+J14+J15+J16+J17+J18+J19+J21+J22+J24+J11+J20+J23</f>
        <v>0</v>
      </c>
      <c r="K10" s="7">
        <f>K12+K13+K14+K15+K16+K17+K18+K19+K21+K22+K24+K11+K20+K23</f>
        <v>0</v>
      </c>
      <c r="L10" s="7"/>
      <c r="M10" s="7"/>
      <c r="N10" s="7"/>
      <c r="O10" s="7" t="e">
        <f>O11+O12+O13+O14+O15+O16+O17+O18+O19+O21+O22+O24+O23+O20</f>
        <v>#REF!</v>
      </c>
      <c r="P10" s="16">
        <f>P11+P12+P13+P14+P15+P16+P17+P18+P19+P21+P22+P24</f>
        <v>0</v>
      </c>
      <c r="Q10" s="16">
        <f>Q11+Q12+Q13+Q14+Q15+Q16+Q17+Q18+Q19+Q21+Q22+Q24</f>
        <v>0</v>
      </c>
    </row>
    <row r="11" spans="1:17" s="183" customFormat="1" ht="12" customHeight="1" hidden="1">
      <c r="A11" s="14"/>
      <c r="B11" s="15" t="s">
        <v>248</v>
      </c>
      <c r="C11" s="17" t="s">
        <v>262</v>
      </c>
      <c r="D11" s="17"/>
      <c r="E11" s="17">
        <v>4100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/>
      <c r="P11" s="18"/>
      <c r="Q11" s="18"/>
    </row>
    <row r="12" spans="1:17" s="183" customFormat="1" ht="14.25" customHeight="1" hidden="1">
      <c r="A12" s="14"/>
      <c r="B12" s="15" t="s">
        <v>263</v>
      </c>
      <c r="C12" s="19" t="s">
        <v>264</v>
      </c>
      <c r="D12" s="17"/>
      <c r="E12" s="17">
        <v>1760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8"/>
      <c r="Q12" s="18"/>
    </row>
    <row r="13" spans="1:17" s="183" customFormat="1" ht="0.75" customHeight="1" hidden="1">
      <c r="A13" s="535"/>
      <c r="B13" s="15" t="s">
        <v>265</v>
      </c>
      <c r="C13" s="9" t="s">
        <v>182</v>
      </c>
      <c r="D13" s="8">
        <v>70035</v>
      </c>
      <c r="E13" s="8">
        <v>72840</v>
      </c>
      <c r="F13" s="8">
        <v>0</v>
      </c>
      <c r="G13" s="8">
        <v>0</v>
      </c>
      <c r="H13" s="8">
        <v>14972</v>
      </c>
      <c r="I13" s="8">
        <v>0</v>
      </c>
      <c r="J13" s="8">
        <v>0</v>
      </c>
      <c r="K13" s="8">
        <v>0</v>
      </c>
      <c r="L13" s="8"/>
      <c r="M13" s="8"/>
      <c r="N13" s="8"/>
      <c r="O13" s="8">
        <f aca="true" t="shared" si="1" ref="O13:O22">N13</f>
        <v>0</v>
      </c>
      <c r="P13" s="21">
        <v>0</v>
      </c>
      <c r="Q13" s="21">
        <v>0</v>
      </c>
    </row>
    <row r="14" spans="1:17" s="183" customFormat="1" ht="26.25" customHeight="1" hidden="1">
      <c r="A14" s="535"/>
      <c r="B14" s="15" t="s">
        <v>267</v>
      </c>
      <c r="C14" s="9" t="s">
        <v>268</v>
      </c>
      <c r="D14" s="8">
        <v>149465</v>
      </c>
      <c r="E14" s="8">
        <v>158968</v>
      </c>
      <c r="F14" s="8">
        <v>0</v>
      </c>
      <c r="G14" s="8">
        <v>0</v>
      </c>
      <c r="H14" s="8">
        <v>19680</v>
      </c>
      <c r="I14" s="8">
        <v>0</v>
      </c>
      <c r="J14" s="8">
        <v>0</v>
      </c>
      <c r="K14" s="8">
        <v>0</v>
      </c>
      <c r="L14" s="8"/>
      <c r="M14" s="8"/>
      <c r="N14" s="8"/>
      <c r="O14" s="8">
        <f t="shared" si="1"/>
        <v>0</v>
      </c>
      <c r="P14" s="21">
        <v>0</v>
      </c>
      <c r="Q14" s="21">
        <v>0</v>
      </c>
    </row>
    <row r="15" spans="1:17" s="183" customFormat="1" ht="18" customHeight="1" hidden="1">
      <c r="A15" s="535"/>
      <c r="B15" s="15" t="s">
        <v>269</v>
      </c>
      <c r="C15" s="9" t="s">
        <v>270</v>
      </c>
      <c r="D15" s="8">
        <v>16347</v>
      </c>
      <c r="E15" s="8">
        <v>17570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/>
      <c r="O15" s="8">
        <f t="shared" si="1"/>
        <v>0</v>
      </c>
      <c r="P15" s="21">
        <v>0</v>
      </c>
      <c r="Q15" s="21">
        <v>0</v>
      </c>
    </row>
    <row r="16" spans="1:17" s="183" customFormat="1" ht="13.5" customHeight="1" hidden="1">
      <c r="A16" s="535"/>
      <c r="B16" s="22" t="s">
        <v>271</v>
      </c>
      <c r="C16" s="9" t="s">
        <v>272</v>
      </c>
      <c r="D16" s="8">
        <v>45328</v>
      </c>
      <c r="E16" s="8">
        <v>39440</v>
      </c>
      <c r="F16" s="8">
        <v>0</v>
      </c>
      <c r="G16" s="8">
        <v>0</v>
      </c>
      <c r="H16" s="8">
        <v>6303</v>
      </c>
      <c r="I16" s="8">
        <v>0</v>
      </c>
      <c r="J16" s="8">
        <v>0</v>
      </c>
      <c r="K16" s="8">
        <v>0</v>
      </c>
      <c r="L16" s="8"/>
      <c r="M16" s="8"/>
      <c r="N16" s="8"/>
      <c r="O16" s="8">
        <f t="shared" si="1"/>
        <v>0</v>
      </c>
      <c r="P16" s="21">
        <v>0</v>
      </c>
      <c r="Q16" s="21">
        <v>0</v>
      </c>
    </row>
    <row r="17" spans="1:17" s="183" customFormat="1" ht="13.5" customHeight="1" hidden="1">
      <c r="A17" s="535"/>
      <c r="B17" s="22" t="s">
        <v>273</v>
      </c>
      <c r="C17" s="9" t="s">
        <v>274</v>
      </c>
      <c r="D17" s="8"/>
      <c r="E17" s="8">
        <v>5404</v>
      </c>
      <c r="F17" s="8">
        <v>0</v>
      </c>
      <c r="G17" s="8">
        <v>0</v>
      </c>
      <c r="H17" s="8">
        <v>849</v>
      </c>
      <c r="I17" s="8">
        <v>0</v>
      </c>
      <c r="J17" s="8">
        <v>0</v>
      </c>
      <c r="K17" s="8">
        <v>0</v>
      </c>
      <c r="L17" s="8"/>
      <c r="M17" s="8"/>
      <c r="N17" s="8"/>
      <c r="O17" s="8">
        <f t="shared" si="1"/>
        <v>0</v>
      </c>
      <c r="P17" s="21">
        <v>0</v>
      </c>
      <c r="Q17" s="21">
        <v>0</v>
      </c>
    </row>
    <row r="18" spans="1:17" s="183" customFormat="1" ht="13.5" customHeight="1" hidden="1">
      <c r="A18" s="535"/>
      <c r="B18" s="22" t="s">
        <v>275</v>
      </c>
      <c r="C18" s="9" t="s">
        <v>276</v>
      </c>
      <c r="D18" s="8"/>
      <c r="E18" s="8">
        <v>14688</v>
      </c>
      <c r="F18" s="8">
        <v>0</v>
      </c>
      <c r="G18" s="8">
        <v>0</v>
      </c>
      <c r="H18" s="8">
        <v>2134</v>
      </c>
      <c r="I18" s="8">
        <v>0</v>
      </c>
      <c r="J18" s="8">
        <v>0</v>
      </c>
      <c r="K18" s="8">
        <v>0</v>
      </c>
      <c r="L18" s="8"/>
      <c r="M18" s="8"/>
      <c r="N18" s="8"/>
      <c r="O18" s="8">
        <f t="shared" si="1"/>
        <v>0</v>
      </c>
      <c r="P18" s="21">
        <v>0</v>
      </c>
      <c r="Q18" s="21">
        <v>0</v>
      </c>
    </row>
    <row r="19" spans="1:17" s="183" customFormat="1" ht="0.75" customHeight="1" hidden="1">
      <c r="A19" s="535"/>
      <c r="B19" s="22" t="s">
        <v>277</v>
      </c>
      <c r="C19" s="9" t="s">
        <v>278</v>
      </c>
      <c r="D19" s="8"/>
      <c r="E19" s="8">
        <v>950</v>
      </c>
      <c r="F19" s="8">
        <v>0</v>
      </c>
      <c r="G19" s="8">
        <v>0</v>
      </c>
      <c r="H19" s="8">
        <v>714</v>
      </c>
      <c r="I19" s="8">
        <v>0</v>
      </c>
      <c r="J19" s="8">
        <v>0</v>
      </c>
      <c r="K19" s="8">
        <v>0</v>
      </c>
      <c r="L19" s="8"/>
      <c r="M19" s="8"/>
      <c r="N19" s="8"/>
      <c r="O19" s="8">
        <f t="shared" si="1"/>
        <v>0</v>
      </c>
      <c r="P19" s="21">
        <v>0</v>
      </c>
      <c r="Q19" s="21">
        <v>0</v>
      </c>
    </row>
    <row r="20" spans="1:17" s="183" customFormat="1" ht="15" customHeight="1" hidden="1">
      <c r="A20" s="535"/>
      <c r="B20" s="22" t="s">
        <v>279</v>
      </c>
      <c r="C20" s="9" t="s">
        <v>280</v>
      </c>
      <c r="D20" s="8"/>
      <c r="E20" s="8"/>
      <c r="F20" s="8"/>
      <c r="G20" s="8"/>
      <c r="H20" s="8">
        <v>0</v>
      </c>
      <c r="I20" s="8">
        <v>0</v>
      </c>
      <c r="J20" s="8">
        <v>0</v>
      </c>
      <c r="K20" s="8"/>
      <c r="L20" s="8"/>
      <c r="M20" s="8"/>
      <c r="N20" s="8"/>
      <c r="O20" s="8">
        <f t="shared" si="1"/>
        <v>0</v>
      </c>
      <c r="P20" s="21">
        <v>0</v>
      </c>
      <c r="Q20" s="21">
        <v>0</v>
      </c>
    </row>
    <row r="21" spans="1:17" s="183" customFormat="1" ht="15.75" customHeight="1" hidden="1">
      <c r="A21" s="535"/>
      <c r="B21" s="22" t="s">
        <v>281</v>
      </c>
      <c r="C21" s="9" t="s">
        <v>282</v>
      </c>
      <c r="D21" s="8"/>
      <c r="E21" s="8">
        <v>15626</v>
      </c>
      <c r="F21" s="8">
        <v>0</v>
      </c>
      <c r="G21" s="8">
        <v>0</v>
      </c>
      <c r="H21" s="8">
        <v>779</v>
      </c>
      <c r="I21" s="8">
        <v>0</v>
      </c>
      <c r="J21" s="8">
        <v>0</v>
      </c>
      <c r="K21" s="8">
        <v>0</v>
      </c>
      <c r="L21" s="8"/>
      <c r="M21" s="8"/>
      <c r="N21" s="8"/>
      <c r="O21" s="8">
        <f t="shared" si="1"/>
        <v>0</v>
      </c>
      <c r="P21" s="21">
        <v>0</v>
      </c>
      <c r="Q21" s="21">
        <v>0</v>
      </c>
    </row>
    <row r="22" spans="1:17" s="183" customFormat="1" ht="16.5" customHeight="1" hidden="1">
      <c r="A22" s="535"/>
      <c r="B22" s="22" t="s">
        <v>283</v>
      </c>
      <c r="C22" s="9" t="s">
        <v>284</v>
      </c>
      <c r="D22" s="8"/>
      <c r="E22" s="8">
        <v>0</v>
      </c>
      <c r="F22" s="8">
        <v>0</v>
      </c>
      <c r="G22" s="8">
        <v>0</v>
      </c>
      <c r="H22" s="8">
        <v>169</v>
      </c>
      <c r="I22" s="8">
        <v>0</v>
      </c>
      <c r="J22" s="8">
        <v>0</v>
      </c>
      <c r="K22" s="8">
        <v>0</v>
      </c>
      <c r="L22" s="8"/>
      <c r="M22" s="8"/>
      <c r="N22" s="8"/>
      <c r="O22" s="8">
        <f t="shared" si="1"/>
        <v>0</v>
      </c>
      <c r="P22" s="21">
        <v>0</v>
      </c>
      <c r="Q22" s="21">
        <v>0</v>
      </c>
    </row>
    <row r="23" spans="1:17" s="183" customFormat="1" ht="16.5" customHeight="1" hidden="1">
      <c r="A23" s="535"/>
      <c r="B23" s="22" t="s">
        <v>285</v>
      </c>
      <c r="C23" s="9" t="s">
        <v>286</v>
      </c>
      <c r="D23" s="8"/>
      <c r="E23" s="8"/>
      <c r="F23" s="8"/>
      <c r="G23" s="8"/>
      <c r="H23" s="8">
        <v>0</v>
      </c>
      <c r="I23" s="8">
        <v>0</v>
      </c>
      <c r="J23" s="8">
        <v>0</v>
      </c>
      <c r="K23" s="8"/>
      <c r="L23" s="8"/>
      <c r="M23" s="8"/>
      <c r="N23" s="8"/>
      <c r="O23" s="8" t="e">
        <f>#REF!</f>
        <v>#REF!</v>
      </c>
      <c r="P23" s="21">
        <v>0</v>
      </c>
      <c r="Q23" s="21">
        <v>0</v>
      </c>
    </row>
    <row r="24" spans="1:17" s="183" customFormat="1" ht="16.5" customHeight="1" hidden="1">
      <c r="A24" s="535"/>
      <c r="B24" s="15" t="s">
        <v>287</v>
      </c>
      <c r="C24" s="8" t="s">
        <v>288</v>
      </c>
      <c r="D24" s="8">
        <v>21825</v>
      </c>
      <c r="E24" s="8">
        <v>4654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/>
      <c r="L24" s="8"/>
      <c r="M24" s="8"/>
      <c r="N24" s="8"/>
      <c r="O24" s="8" t="e">
        <f>#REF!</f>
        <v>#REF!</v>
      </c>
      <c r="P24" s="21">
        <v>0</v>
      </c>
      <c r="Q24" s="21">
        <v>0</v>
      </c>
    </row>
    <row r="25" spans="1:17" s="183" customFormat="1" ht="27.75" customHeight="1" hidden="1">
      <c r="A25" s="23" t="s">
        <v>127</v>
      </c>
      <c r="B25" s="24"/>
      <c r="C25" s="4" t="s">
        <v>128</v>
      </c>
      <c r="D25" s="7"/>
      <c r="E25" s="7"/>
      <c r="F25" s="7"/>
      <c r="G25" s="7"/>
      <c r="H25" s="7">
        <f aca="true" t="shared" si="2" ref="H25:Q25">H26</f>
        <v>0</v>
      </c>
      <c r="I25" s="7">
        <f t="shared" si="2"/>
        <v>0</v>
      </c>
      <c r="J25" s="7">
        <f t="shared" si="2"/>
        <v>0</v>
      </c>
      <c r="K25" s="7"/>
      <c r="L25" s="7"/>
      <c r="M25" s="7"/>
      <c r="N25" s="7"/>
      <c r="O25" s="7" t="e">
        <f t="shared" si="2"/>
        <v>#REF!</v>
      </c>
      <c r="P25" s="7">
        <f t="shared" si="2"/>
        <v>0</v>
      </c>
      <c r="Q25" s="7">
        <f t="shared" si="2"/>
        <v>0</v>
      </c>
    </row>
    <row r="26" spans="1:17" s="183" customFormat="1" ht="18.75" customHeight="1" hidden="1">
      <c r="A26" s="23"/>
      <c r="B26" s="28" t="s">
        <v>275</v>
      </c>
      <c r="C26" s="26" t="s">
        <v>276</v>
      </c>
      <c r="D26" s="17"/>
      <c r="E26" s="17"/>
      <c r="F26" s="17"/>
      <c r="G26" s="17"/>
      <c r="H26" s="17">
        <v>0</v>
      </c>
      <c r="I26" s="17">
        <v>0</v>
      </c>
      <c r="J26" s="17">
        <v>0</v>
      </c>
      <c r="K26" s="17"/>
      <c r="L26" s="17"/>
      <c r="M26" s="17"/>
      <c r="N26" s="17"/>
      <c r="O26" s="17" t="e">
        <f>#REF!</f>
        <v>#REF!</v>
      </c>
      <c r="P26" s="21">
        <v>0</v>
      </c>
      <c r="Q26" s="21">
        <v>0</v>
      </c>
    </row>
    <row r="27" spans="1:17" s="183" customFormat="1" ht="21" customHeight="1">
      <c r="A27" s="198" t="s">
        <v>289</v>
      </c>
      <c r="B27" s="207"/>
      <c r="C27" s="208" t="s">
        <v>719</v>
      </c>
      <c r="D27" s="169">
        <f aca="true" t="shared" si="3" ref="D27:Q27">D28</f>
        <v>0</v>
      </c>
      <c r="E27" s="169">
        <f t="shared" si="3"/>
        <v>37400</v>
      </c>
      <c r="F27" s="169">
        <f t="shared" si="3"/>
        <v>0</v>
      </c>
      <c r="G27" s="169">
        <f t="shared" si="3"/>
        <v>0</v>
      </c>
      <c r="H27" s="169">
        <f t="shared" si="3"/>
        <v>45000</v>
      </c>
      <c r="I27" s="169">
        <f t="shared" si="3"/>
        <v>0</v>
      </c>
      <c r="J27" s="169">
        <f t="shared" si="3"/>
        <v>0</v>
      </c>
      <c r="K27" s="169">
        <f>K28</f>
        <v>30000</v>
      </c>
      <c r="L27" s="169">
        <f>L28</f>
        <v>0</v>
      </c>
      <c r="M27" s="169">
        <f>M28</f>
        <v>0</v>
      </c>
      <c r="N27" s="169">
        <f>N28</f>
        <v>30000</v>
      </c>
      <c r="O27" s="169">
        <f t="shared" si="3"/>
        <v>30000</v>
      </c>
      <c r="P27" s="167">
        <f t="shared" si="3"/>
        <v>0</v>
      </c>
      <c r="Q27" s="167">
        <f t="shared" si="3"/>
        <v>0</v>
      </c>
    </row>
    <row r="28" spans="1:17" s="183" customFormat="1" ht="15.75" customHeight="1">
      <c r="A28" s="20"/>
      <c r="B28" s="15" t="s">
        <v>281</v>
      </c>
      <c r="C28" s="301" t="s">
        <v>282</v>
      </c>
      <c r="D28" s="8">
        <v>0</v>
      </c>
      <c r="E28" s="8">
        <v>37400</v>
      </c>
      <c r="F28" s="8">
        <v>0</v>
      </c>
      <c r="G28" s="8">
        <v>0</v>
      </c>
      <c r="H28" s="8">
        <v>45000</v>
      </c>
      <c r="I28" s="8">
        <v>0</v>
      </c>
      <c r="J28" s="8">
        <v>0</v>
      </c>
      <c r="K28" s="8">
        <v>30000</v>
      </c>
      <c r="L28" s="8"/>
      <c r="M28" s="8"/>
      <c r="N28" s="8">
        <f>K28+L28-M28</f>
        <v>30000</v>
      </c>
      <c r="O28" s="8">
        <f>N28</f>
        <v>30000</v>
      </c>
      <c r="P28" s="21">
        <v>0</v>
      </c>
      <c r="Q28" s="21">
        <v>0</v>
      </c>
    </row>
    <row r="29" spans="1:17" s="183" customFormat="1" ht="15.75" customHeight="1">
      <c r="A29" s="198" t="s">
        <v>748</v>
      </c>
      <c r="B29" s="207"/>
      <c r="C29" s="197" t="s">
        <v>344</v>
      </c>
      <c r="D29" s="169"/>
      <c r="E29" s="169"/>
      <c r="F29" s="169"/>
      <c r="G29" s="169"/>
      <c r="H29" s="169">
        <f aca="true" t="shared" si="4" ref="H29:Q29">H30</f>
        <v>1200</v>
      </c>
      <c r="I29" s="169">
        <f t="shared" si="4"/>
        <v>0</v>
      </c>
      <c r="J29" s="169">
        <f t="shared" si="4"/>
        <v>0</v>
      </c>
      <c r="K29" s="169">
        <f>K30</f>
        <v>1700</v>
      </c>
      <c r="L29" s="169">
        <f>L30</f>
        <v>0</v>
      </c>
      <c r="M29" s="169">
        <f>M30</f>
        <v>0</v>
      </c>
      <c r="N29" s="169">
        <f aca="true" t="shared" si="5" ref="N29:N86">K29+L29-M29</f>
        <v>1700</v>
      </c>
      <c r="O29" s="169">
        <f t="shared" si="4"/>
        <v>0</v>
      </c>
      <c r="P29" s="169">
        <f t="shared" si="4"/>
        <v>0</v>
      </c>
      <c r="Q29" s="169">
        <f t="shared" si="4"/>
        <v>1700</v>
      </c>
    </row>
    <row r="30" spans="1:17" s="183" customFormat="1" ht="22.5" customHeight="1">
      <c r="A30" s="20"/>
      <c r="B30" s="15" t="s">
        <v>334</v>
      </c>
      <c r="C30" s="301" t="s">
        <v>176</v>
      </c>
      <c r="D30" s="8"/>
      <c r="E30" s="8"/>
      <c r="F30" s="8"/>
      <c r="G30" s="8"/>
      <c r="H30" s="8">
        <v>1200</v>
      </c>
      <c r="I30" s="8">
        <v>0</v>
      </c>
      <c r="J30" s="8">
        <v>0</v>
      </c>
      <c r="K30" s="8">
        <v>1700</v>
      </c>
      <c r="L30" s="8"/>
      <c r="M30" s="8"/>
      <c r="N30" s="8">
        <f t="shared" si="5"/>
        <v>1700</v>
      </c>
      <c r="O30" s="8">
        <v>0</v>
      </c>
      <c r="P30" s="21">
        <v>0</v>
      </c>
      <c r="Q30" s="21">
        <f>N30</f>
        <v>1700</v>
      </c>
    </row>
    <row r="31" spans="1:17" s="183" customFormat="1" ht="15" customHeight="1">
      <c r="A31" s="173" t="s">
        <v>290</v>
      </c>
      <c r="B31" s="539"/>
      <c r="C31" s="174" t="s">
        <v>291</v>
      </c>
      <c r="D31" s="174">
        <f aca="true" t="shared" si="6" ref="D31:G32">D32</f>
        <v>29992</v>
      </c>
      <c r="E31" s="174">
        <f t="shared" si="6"/>
        <v>21000</v>
      </c>
      <c r="F31" s="174">
        <f t="shared" si="6"/>
        <v>0</v>
      </c>
      <c r="G31" s="174">
        <f t="shared" si="6"/>
        <v>0</v>
      </c>
      <c r="H31" s="174">
        <f aca="true" t="shared" si="7" ref="H31:Q31">H32+H34</f>
        <v>94025</v>
      </c>
      <c r="I31" s="174">
        <f t="shared" si="7"/>
        <v>0</v>
      </c>
      <c r="J31" s="174">
        <f t="shared" si="7"/>
        <v>0</v>
      </c>
      <c r="K31" s="174">
        <f>K32+K34</f>
        <v>153909</v>
      </c>
      <c r="L31" s="174">
        <f>L32+L34</f>
        <v>0</v>
      </c>
      <c r="M31" s="174">
        <f>M32+M34</f>
        <v>0</v>
      </c>
      <c r="N31" s="174">
        <f t="shared" si="5"/>
        <v>153909</v>
      </c>
      <c r="O31" s="174">
        <f t="shared" si="7"/>
        <v>0</v>
      </c>
      <c r="P31" s="174">
        <f t="shared" si="7"/>
        <v>153909</v>
      </c>
      <c r="Q31" s="174">
        <f t="shared" si="7"/>
        <v>0</v>
      </c>
    </row>
    <row r="32" spans="1:17" s="183" customFormat="1" ht="13.5" customHeight="1">
      <c r="A32" s="14" t="s">
        <v>132</v>
      </c>
      <c r="B32" s="539"/>
      <c r="C32" s="169" t="s">
        <v>131</v>
      </c>
      <c r="D32" s="169">
        <f t="shared" si="6"/>
        <v>29992</v>
      </c>
      <c r="E32" s="169">
        <f t="shared" si="6"/>
        <v>21000</v>
      </c>
      <c r="F32" s="169">
        <f t="shared" si="6"/>
        <v>0</v>
      </c>
      <c r="G32" s="169">
        <f t="shared" si="6"/>
        <v>0</v>
      </c>
      <c r="H32" s="169">
        <f aca="true" t="shared" si="8" ref="H32:P32">H33</f>
        <v>83025</v>
      </c>
      <c r="I32" s="169">
        <f t="shared" si="8"/>
        <v>0</v>
      </c>
      <c r="J32" s="169">
        <f t="shared" si="8"/>
        <v>0</v>
      </c>
      <c r="K32" s="169">
        <f>K33</f>
        <v>141159</v>
      </c>
      <c r="L32" s="169">
        <f>L33</f>
        <v>0</v>
      </c>
      <c r="M32" s="169">
        <f>M33</f>
        <v>0</v>
      </c>
      <c r="N32" s="169">
        <f t="shared" si="5"/>
        <v>141159</v>
      </c>
      <c r="O32" s="169">
        <f t="shared" si="8"/>
        <v>0</v>
      </c>
      <c r="P32" s="167">
        <f t="shared" si="8"/>
        <v>141159</v>
      </c>
      <c r="Q32" s="167">
        <f>Q33</f>
        <v>0</v>
      </c>
    </row>
    <row r="33" spans="1:17" s="183" customFormat="1" ht="15" customHeight="1">
      <c r="A33" s="25"/>
      <c r="B33" s="15" t="s">
        <v>263</v>
      </c>
      <c r="C33" s="251" t="s">
        <v>337</v>
      </c>
      <c r="D33" s="8">
        <v>29992</v>
      </c>
      <c r="E33" s="8">
        <v>21000</v>
      </c>
      <c r="F33" s="8">
        <v>0</v>
      </c>
      <c r="G33" s="8">
        <v>0</v>
      </c>
      <c r="H33" s="8">
        <v>83025</v>
      </c>
      <c r="I33" s="8">
        <v>0</v>
      </c>
      <c r="J33" s="8">
        <v>0</v>
      </c>
      <c r="K33" s="8">
        <v>141159</v>
      </c>
      <c r="L33" s="8"/>
      <c r="M33" s="8"/>
      <c r="N33" s="8">
        <f t="shared" si="5"/>
        <v>141159</v>
      </c>
      <c r="O33" s="8">
        <v>0</v>
      </c>
      <c r="P33" s="21">
        <f>N33</f>
        <v>141159</v>
      </c>
      <c r="Q33" s="21">
        <v>0</v>
      </c>
    </row>
    <row r="34" spans="1:17" s="183" customFormat="1" ht="16.5" customHeight="1">
      <c r="A34" s="196" t="s">
        <v>292</v>
      </c>
      <c r="B34" s="308"/>
      <c r="C34" s="169" t="s">
        <v>293</v>
      </c>
      <c r="D34" s="307"/>
      <c r="E34" s="307"/>
      <c r="F34" s="307"/>
      <c r="G34" s="307"/>
      <c r="H34" s="169">
        <f aca="true" t="shared" si="9" ref="H34:Q34">H36+H35</f>
        <v>11000</v>
      </c>
      <c r="I34" s="169">
        <f t="shared" si="9"/>
        <v>0</v>
      </c>
      <c r="J34" s="169">
        <f t="shared" si="9"/>
        <v>0</v>
      </c>
      <c r="K34" s="169">
        <f>K36+K35</f>
        <v>12750</v>
      </c>
      <c r="L34" s="169">
        <f>L36+L35</f>
        <v>0</v>
      </c>
      <c r="M34" s="169">
        <f>M36+M35</f>
        <v>0</v>
      </c>
      <c r="N34" s="169">
        <f t="shared" si="5"/>
        <v>12750</v>
      </c>
      <c r="O34" s="169">
        <f t="shared" si="9"/>
        <v>0</v>
      </c>
      <c r="P34" s="169">
        <f t="shared" si="9"/>
        <v>12750</v>
      </c>
      <c r="Q34" s="169">
        <f t="shared" si="9"/>
        <v>0</v>
      </c>
    </row>
    <row r="35" spans="1:17" s="183" customFormat="1" ht="13.5" customHeight="1">
      <c r="A35" s="14"/>
      <c r="B35" s="15" t="s">
        <v>275</v>
      </c>
      <c r="C35" s="251" t="s">
        <v>276</v>
      </c>
      <c r="D35" s="17"/>
      <c r="E35" s="17"/>
      <c r="F35" s="17"/>
      <c r="G35" s="17"/>
      <c r="H35" s="17">
        <v>942</v>
      </c>
      <c r="I35" s="8">
        <v>0</v>
      </c>
      <c r="J35" s="8">
        <v>0</v>
      </c>
      <c r="K35" s="8">
        <v>0</v>
      </c>
      <c r="L35" s="8"/>
      <c r="M35" s="8"/>
      <c r="N35" s="8">
        <f t="shared" si="5"/>
        <v>0</v>
      </c>
      <c r="O35" s="17">
        <v>0</v>
      </c>
      <c r="P35" s="17">
        <f>K35</f>
        <v>0</v>
      </c>
      <c r="Q35" s="17">
        <v>0</v>
      </c>
    </row>
    <row r="36" spans="1:17" s="183" customFormat="1" ht="14.25" customHeight="1">
      <c r="A36" s="25"/>
      <c r="B36" s="15" t="s">
        <v>281</v>
      </c>
      <c r="C36" s="251" t="s">
        <v>282</v>
      </c>
      <c r="D36" s="8"/>
      <c r="E36" s="8"/>
      <c r="F36" s="8"/>
      <c r="G36" s="8"/>
      <c r="H36" s="8">
        <v>10058</v>
      </c>
      <c r="I36" s="8">
        <v>0</v>
      </c>
      <c r="J36" s="8">
        <v>0</v>
      </c>
      <c r="K36" s="8">
        <v>12750</v>
      </c>
      <c r="L36" s="8"/>
      <c r="M36" s="8"/>
      <c r="N36" s="8">
        <f t="shared" si="5"/>
        <v>12750</v>
      </c>
      <c r="O36" s="8">
        <v>0</v>
      </c>
      <c r="P36" s="21">
        <f>N36</f>
        <v>12750</v>
      </c>
      <c r="Q36" s="21">
        <v>0</v>
      </c>
    </row>
    <row r="37" spans="1:17" s="183" customFormat="1" ht="17.25" customHeight="1">
      <c r="A37" s="173" t="s">
        <v>294</v>
      </c>
      <c r="B37" s="175"/>
      <c r="C37" s="174" t="s">
        <v>295</v>
      </c>
      <c r="D37" s="174" t="e">
        <f aca="true" t="shared" si="10" ref="D37:P37">D38</f>
        <v>#REF!</v>
      </c>
      <c r="E37" s="174" t="e">
        <f t="shared" si="10"/>
        <v>#REF!</v>
      </c>
      <c r="F37" s="174" t="e">
        <f t="shared" si="10"/>
        <v>#REF!</v>
      </c>
      <c r="G37" s="174" t="e">
        <f t="shared" si="10"/>
        <v>#REF!</v>
      </c>
      <c r="H37" s="174" t="e">
        <f t="shared" si="10"/>
        <v>#REF!</v>
      </c>
      <c r="I37" s="174" t="e">
        <f t="shared" si="10"/>
        <v>#REF!</v>
      </c>
      <c r="J37" s="174" t="e">
        <f t="shared" si="10"/>
        <v>#REF!</v>
      </c>
      <c r="K37" s="174">
        <f>K38</f>
        <v>4126080</v>
      </c>
      <c r="L37" s="174">
        <f>L38</f>
        <v>349000</v>
      </c>
      <c r="M37" s="174">
        <f>M38</f>
        <v>230000</v>
      </c>
      <c r="N37" s="174">
        <f t="shared" si="5"/>
        <v>4245080</v>
      </c>
      <c r="O37" s="174">
        <f t="shared" si="10"/>
        <v>0</v>
      </c>
      <c r="P37" s="176">
        <f t="shared" si="10"/>
        <v>4245080</v>
      </c>
      <c r="Q37" s="176">
        <f>Q38</f>
        <v>0</v>
      </c>
    </row>
    <row r="38" spans="1:17" s="183" customFormat="1" ht="14.25" customHeight="1">
      <c r="A38" s="196" t="s">
        <v>296</v>
      </c>
      <c r="B38" s="308"/>
      <c r="C38" s="169" t="s">
        <v>297</v>
      </c>
      <c r="D38" s="169" t="e">
        <f>D40+D41+D42+D39+#REF!+D55</f>
        <v>#REF!</v>
      </c>
      <c r="E38" s="169" t="e">
        <f>E40+E41+E42+E43+E39+#REF!+E45+E46+E47+E48+E50+E51+E52+E53+#REF!+E54+E55+#REF!</f>
        <v>#REF!</v>
      </c>
      <c r="F38" s="169" t="e">
        <f>F40+F41+F42+F43+F39+#REF!+F45+F46+F47+F48+F50+F51+F52+F53+F54+F55+#REF!+#REF!</f>
        <v>#REF!</v>
      </c>
      <c r="G38" s="169" t="e">
        <f>G40+G41+G42+G43+G39+#REF!+G45+G46+G47+G48+G50+G51+G52+G53+G54+G55+#REF!+#REF!</f>
        <v>#REF!</v>
      </c>
      <c r="H38" s="169" t="e">
        <f>H40+H41+H42+H43+H39+#REF!+H45+H46+H47+H48+H50+H51+H52+H53+H54+H55+#REF!+#REF!+#REF!+#REF!+#REF!</f>
        <v>#REF!</v>
      </c>
      <c r="I38" s="169" t="e">
        <f>I40+I41+I42+I43+I39+#REF!+I45+I46+I47+I48+I50+I51+I52+I53+I54+I55+#REF!+#REF!+#REF!+#REF!+#REF!</f>
        <v>#REF!</v>
      </c>
      <c r="J38" s="169" t="e">
        <f>J40+J41+J42+J43+J39+#REF!+J45+J46+J47+J48+J50+J51+J52+J53+J54+J55+#REF!+#REF!+#REF!+#REF!+#REF!</f>
        <v>#REF!</v>
      </c>
      <c r="K38" s="169">
        <f>SUM(K39:K57)</f>
        <v>4126080</v>
      </c>
      <c r="L38" s="169">
        <f>SUM(L39:L57)</f>
        <v>349000</v>
      </c>
      <c r="M38" s="169">
        <f>SUM(M39:M57)</f>
        <v>230000</v>
      </c>
      <c r="N38" s="169">
        <f t="shared" si="5"/>
        <v>4245080</v>
      </c>
      <c r="O38" s="169">
        <f>O40+O41+O42+O43+O44+O39+O45+O46+O47+O48+O49+O50+O51+O52+O53+O54+O56+O57</f>
        <v>0</v>
      </c>
      <c r="P38" s="169">
        <f>P39+P40+P41+P42+P43+P44+P45+P46+P47+P48+P49+P50+P51+P52+P53+P54+P55+P56+P57</f>
        <v>4245080</v>
      </c>
      <c r="Q38" s="169">
        <f>Q39+Q40+Q41+Q42+Q43+Q44+Q45+Q46+Q47+Q48+Q49+Q50+Q51+Q52+Q53+Q54+Q55+Q56+Q57</f>
        <v>0</v>
      </c>
    </row>
    <row r="39" spans="1:17" s="325" customFormat="1" ht="14.25" customHeight="1">
      <c r="A39" s="20"/>
      <c r="B39" s="15" t="s">
        <v>248</v>
      </c>
      <c r="C39" s="434" t="s">
        <v>301</v>
      </c>
      <c r="D39" s="170">
        <v>1296250</v>
      </c>
      <c r="E39" s="94">
        <v>4000</v>
      </c>
      <c r="F39" s="94">
        <v>0</v>
      </c>
      <c r="G39" s="94">
        <v>0</v>
      </c>
      <c r="H39" s="94">
        <v>6000</v>
      </c>
      <c r="I39" s="170">
        <v>0</v>
      </c>
      <c r="J39" s="170">
        <v>0</v>
      </c>
      <c r="K39" s="170">
        <v>4000</v>
      </c>
      <c r="L39" s="170"/>
      <c r="M39" s="170"/>
      <c r="N39" s="8">
        <f t="shared" si="5"/>
        <v>4000</v>
      </c>
      <c r="O39" s="170">
        <v>0</v>
      </c>
      <c r="P39" s="21">
        <f>N39</f>
        <v>4000</v>
      </c>
      <c r="Q39" s="21">
        <v>0</v>
      </c>
    </row>
    <row r="40" spans="1:17" s="183" customFormat="1" ht="15" customHeight="1">
      <c r="A40" s="20"/>
      <c r="B40" s="15" t="s">
        <v>265</v>
      </c>
      <c r="C40" s="301" t="s">
        <v>266</v>
      </c>
      <c r="D40" s="8">
        <v>580000</v>
      </c>
      <c r="E40" s="8">
        <v>599500</v>
      </c>
      <c r="F40" s="8">
        <v>0</v>
      </c>
      <c r="G40" s="8">
        <v>0</v>
      </c>
      <c r="H40" s="8">
        <v>356415</v>
      </c>
      <c r="I40" s="8">
        <v>0</v>
      </c>
      <c r="J40" s="8">
        <v>0</v>
      </c>
      <c r="K40" s="8">
        <v>364907</v>
      </c>
      <c r="L40" s="8"/>
      <c r="M40" s="8"/>
      <c r="N40" s="8">
        <f t="shared" si="5"/>
        <v>364907</v>
      </c>
      <c r="O40" s="8">
        <v>0</v>
      </c>
      <c r="P40" s="21">
        <f aca="true" t="shared" si="11" ref="P40:P57">N40</f>
        <v>364907</v>
      </c>
      <c r="Q40" s="21">
        <v>0</v>
      </c>
    </row>
    <row r="41" spans="1:17" s="183" customFormat="1" ht="15.75" customHeight="1">
      <c r="A41" s="20"/>
      <c r="B41" s="15" t="s">
        <v>269</v>
      </c>
      <c r="C41" s="301" t="s">
        <v>270</v>
      </c>
      <c r="D41" s="8">
        <v>37980</v>
      </c>
      <c r="E41" s="8">
        <v>46300</v>
      </c>
      <c r="F41" s="8">
        <v>0</v>
      </c>
      <c r="G41" s="8">
        <v>41</v>
      </c>
      <c r="H41" s="8">
        <v>33240</v>
      </c>
      <c r="I41" s="8">
        <v>0</v>
      </c>
      <c r="J41" s="8">
        <v>0</v>
      </c>
      <c r="K41" s="8">
        <v>26868</v>
      </c>
      <c r="L41" s="8"/>
      <c r="M41" s="8">
        <v>0</v>
      </c>
      <c r="N41" s="8">
        <f t="shared" si="5"/>
        <v>26868</v>
      </c>
      <c r="O41" s="8">
        <v>0</v>
      </c>
      <c r="P41" s="21">
        <f t="shared" si="11"/>
        <v>26868</v>
      </c>
      <c r="Q41" s="21">
        <v>0</v>
      </c>
    </row>
    <row r="42" spans="1:17" s="183" customFormat="1" ht="15" customHeight="1">
      <c r="A42" s="20"/>
      <c r="B42" s="22" t="s">
        <v>298</v>
      </c>
      <c r="C42" s="301" t="s">
        <v>299</v>
      </c>
      <c r="D42" s="8">
        <v>121770</v>
      </c>
      <c r="E42" s="8">
        <v>110000</v>
      </c>
      <c r="F42" s="8">
        <v>0</v>
      </c>
      <c r="G42" s="8">
        <v>1150</v>
      </c>
      <c r="H42" s="8">
        <v>73348</v>
      </c>
      <c r="I42" s="8">
        <v>0</v>
      </c>
      <c r="J42" s="8">
        <v>0</v>
      </c>
      <c r="K42" s="8">
        <v>67912</v>
      </c>
      <c r="L42" s="8"/>
      <c r="M42" s="8"/>
      <c r="N42" s="8">
        <f t="shared" si="5"/>
        <v>67912</v>
      </c>
      <c r="O42" s="8">
        <v>0</v>
      </c>
      <c r="P42" s="21">
        <f t="shared" si="11"/>
        <v>67912</v>
      </c>
      <c r="Q42" s="21">
        <v>0</v>
      </c>
    </row>
    <row r="43" spans="1:17" s="183" customFormat="1" ht="14.25" customHeight="1">
      <c r="A43" s="20"/>
      <c r="B43" s="22" t="s">
        <v>273</v>
      </c>
      <c r="C43" s="301" t="s">
        <v>274</v>
      </c>
      <c r="D43" s="8"/>
      <c r="E43" s="8">
        <v>12400</v>
      </c>
      <c r="F43" s="8">
        <v>2500</v>
      </c>
      <c r="G43" s="8">
        <v>0</v>
      </c>
      <c r="H43" s="8">
        <v>10132</v>
      </c>
      <c r="I43" s="8">
        <v>0</v>
      </c>
      <c r="J43" s="8">
        <v>0</v>
      </c>
      <c r="K43" s="8">
        <v>9385</v>
      </c>
      <c r="L43" s="8"/>
      <c r="M43" s="8"/>
      <c r="N43" s="8">
        <f t="shared" si="5"/>
        <v>9385</v>
      </c>
      <c r="O43" s="8">
        <v>0</v>
      </c>
      <c r="P43" s="21">
        <f t="shared" si="11"/>
        <v>9385</v>
      </c>
      <c r="Q43" s="21">
        <v>0</v>
      </c>
    </row>
    <row r="44" spans="1:17" s="183" customFormat="1" ht="12.75" customHeight="1">
      <c r="A44" s="20"/>
      <c r="B44" s="22" t="s">
        <v>97</v>
      </c>
      <c r="C44" s="301" t="s">
        <v>111</v>
      </c>
      <c r="D44" s="8"/>
      <c r="E44" s="8"/>
      <c r="F44" s="8"/>
      <c r="G44" s="8"/>
      <c r="H44" s="8"/>
      <c r="I44" s="8"/>
      <c r="J44" s="8"/>
      <c r="K44" s="8">
        <v>25000</v>
      </c>
      <c r="L44" s="8"/>
      <c r="M44" s="8"/>
      <c r="N44" s="8">
        <f t="shared" si="5"/>
        <v>25000</v>
      </c>
      <c r="O44" s="8">
        <v>0</v>
      </c>
      <c r="P44" s="21">
        <f t="shared" si="11"/>
        <v>25000</v>
      </c>
      <c r="Q44" s="21">
        <v>0</v>
      </c>
    </row>
    <row r="45" spans="1:17" s="183" customFormat="1" ht="12.75" customHeight="1">
      <c r="A45" s="20"/>
      <c r="B45" s="15" t="s">
        <v>275</v>
      </c>
      <c r="C45" s="301" t="s">
        <v>302</v>
      </c>
      <c r="D45" s="8"/>
      <c r="E45" s="17">
        <v>130378</v>
      </c>
      <c r="F45" s="17">
        <v>40000</v>
      </c>
      <c r="G45" s="17">
        <v>0</v>
      </c>
      <c r="H45" s="17">
        <v>140000</v>
      </c>
      <c r="I45" s="8">
        <v>0</v>
      </c>
      <c r="J45" s="8">
        <v>0</v>
      </c>
      <c r="K45" s="8">
        <v>200655</v>
      </c>
      <c r="L45" s="8">
        <v>19000</v>
      </c>
      <c r="M45" s="8"/>
      <c r="N45" s="8">
        <f t="shared" si="5"/>
        <v>219655</v>
      </c>
      <c r="O45" s="8">
        <v>0</v>
      </c>
      <c r="P45" s="21">
        <f t="shared" si="11"/>
        <v>219655</v>
      </c>
      <c r="Q45" s="21">
        <v>0</v>
      </c>
    </row>
    <row r="46" spans="1:17" s="183" customFormat="1" ht="13.5" customHeight="1">
      <c r="A46" s="20"/>
      <c r="B46" s="15" t="s">
        <v>277</v>
      </c>
      <c r="C46" s="301" t="s">
        <v>278</v>
      </c>
      <c r="D46" s="8"/>
      <c r="E46" s="17">
        <v>33000</v>
      </c>
      <c r="F46" s="17">
        <v>5000</v>
      </c>
      <c r="G46" s="17">
        <v>0</v>
      </c>
      <c r="H46" s="17">
        <v>30000</v>
      </c>
      <c r="I46" s="8">
        <v>0</v>
      </c>
      <c r="J46" s="8">
        <v>0</v>
      </c>
      <c r="K46" s="8">
        <v>31100</v>
      </c>
      <c r="L46" s="8"/>
      <c r="M46" s="8"/>
      <c r="N46" s="8">
        <f t="shared" si="5"/>
        <v>31100</v>
      </c>
      <c r="O46" s="8">
        <v>0</v>
      </c>
      <c r="P46" s="21">
        <f t="shared" si="11"/>
        <v>31100</v>
      </c>
      <c r="Q46" s="21">
        <v>0</v>
      </c>
    </row>
    <row r="47" spans="1:17" s="183" customFormat="1" ht="13.5" customHeight="1">
      <c r="A47" s="20"/>
      <c r="B47" s="15" t="s">
        <v>279</v>
      </c>
      <c r="C47" s="301" t="s">
        <v>280</v>
      </c>
      <c r="D47" s="8"/>
      <c r="E47" s="17">
        <v>613990</v>
      </c>
      <c r="F47" s="17">
        <v>0</v>
      </c>
      <c r="G47" s="17">
        <v>500000</v>
      </c>
      <c r="H47" s="17">
        <v>7000</v>
      </c>
      <c r="I47" s="8">
        <v>0</v>
      </c>
      <c r="J47" s="8">
        <v>0</v>
      </c>
      <c r="K47" s="8">
        <v>67000</v>
      </c>
      <c r="L47" s="8"/>
      <c r="M47" s="8">
        <v>30000</v>
      </c>
      <c r="N47" s="8">
        <f t="shared" si="5"/>
        <v>37000</v>
      </c>
      <c r="O47" s="8">
        <v>0</v>
      </c>
      <c r="P47" s="21">
        <f t="shared" si="11"/>
        <v>37000</v>
      </c>
      <c r="Q47" s="21">
        <v>0</v>
      </c>
    </row>
    <row r="48" spans="1:17" s="183" customFormat="1" ht="14.25" customHeight="1">
      <c r="A48" s="20"/>
      <c r="B48" s="15" t="s">
        <v>281</v>
      </c>
      <c r="C48" s="301" t="s">
        <v>282</v>
      </c>
      <c r="D48" s="8"/>
      <c r="E48" s="17">
        <v>828700</v>
      </c>
      <c r="F48" s="17">
        <v>0</v>
      </c>
      <c r="G48" s="17">
        <v>142451</v>
      </c>
      <c r="H48" s="17">
        <v>412661</v>
      </c>
      <c r="I48" s="8">
        <v>0</v>
      </c>
      <c r="J48" s="8">
        <v>0</v>
      </c>
      <c r="K48" s="8">
        <v>376244</v>
      </c>
      <c r="L48" s="8">
        <v>0</v>
      </c>
      <c r="M48" s="8"/>
      <c r="N48" s="8">
        <f t="shared" si="5"/>
        <v>376244</v>
      </c>
      <c r="O48" s="8">
        <v>0</v>
      </c>
      <c r="P48" s="21">
        <f t="shared" si="11"/>
        <v>376244</v>
      </c>
      <c r="Q48" s="21">
        <v>0</v>
      </c>
    </row>
    <row r="49" spans="1:17" s="183" customFormat="1" ht="14.25" customHeight="1">
      <c r="A49" s="20"/>
      <c r="B49" s="15" t="s">
        <v>112</v>
      </c>
      <c r="C49" s="301" t="s">
        <v>113</v>
      </c>
      <c r="D49" s="8"/>
      <c r="E49" s="17"/>
      <c r="F49" s="17"/>
      <c r="G49" s="17"/>
      <c r="H49" s="17"/>
      <c r="I49" s="8"/>
      <c r="J49" s="8"/>
      <c r="K49" s="8">
        <v>3700</v>
      </c>
      <c r="L49" s="8"/>
      <c r="M49" s="8"/>
      <c r="N49" s="8">
        <f t="shared" si="5"/>
        <v>3700</v>
      </c>
      <c r="O49" s="8">
        <v>0</v>
      </c>
      <c r="P49" s="21">
        <f t="shared" si="11"/>
        <v>3700</v>
      </c>
      <c r="Q49" s="21">
        <v>0</v>
      </c>
    </row>
    <row r="50" spans="1:17" s="183" customFormat="1" ht="14.25" customHeight="1">
      <c r="A50" s="20"/>
      <c r="B50" s="15" t="s">
        <v>283</v>
      </c>
      <c r="C50" s="301" t="s">
        <v>284</v>
      </c>
      <c r="D50" s="8"/>
      <c r="E50" s="17">
        <v>660</v>
      </c>
      <c r="F50" s="17">
        <v>0</v>
      </c>
      <c r="G50" s="17">
        <v>300</v>
      </c>
      <c r="H50" s="17">
        <v>500</v>
      </c>
      <c r="I50" s="8">
        <v>0</v>
      </c>
      <c r="J50" s="8">
        <v>0</v>
      </c>
      <c r="K50" s="8">
        <v>1500</v>
      </c>
      <c r="L50" s="8"/>
      <c r="M50" s="8"/>
      <c r="N50" s="8">
        <f t="shared" si="5"/>
        <v>1500</v>
      </c>
      <c r="O50" s="8">
        <v>0</v>
      </c>
      <c r="P50" s="21">
        <f t="shared" si="11"/>
        <v>1500</v>
      </c>
      <c r="Q50" s="21">
        <v>0</v>
      </c>
    </row>
    <row r="51" spans="1:17" s="183" customFormat="1" ht="15.75" customHeight="1">
      <c r="A51" s="20"/>
      <c r="B51" s="15" t="s">
        <v>285</v>
      </c>
      <c r="C51" s="301" t="s">
        <v>286</v>
      </c>
      <c r="D51" s="8"/>
      <c r="E51" s="17">
        <v>23000</v>
      </c>
      <c r="F51" s="17">
        <v>500</v>
      </c>
      <c r="G51" s="17">
        <v>0</v>
      </c>
      <c r="H51" s="17">
        <v>15412</v>
      </c>
      <c r="I51" s="8">
        <v>0</v>
      </c>
      <c r="J51" s="8">
        <v>0</v>
      </c>
      <c r="K51" s="8">
        <v>2000</v>
      </c>
      <c r="L51" s="8"/>
      <c r="M51" s="8"/>
      <c r="N51" s="8">
        <f t="shared" si="5"/>
        <v>2000</v>
      </c>
      <c r="O51" s="8">
        <v>0</v>
      </c>
      <c r="P51" s="21">
        <f t="shared" si="11"/>
        <v>2000</v>
      </c>
      <c r="Q51" s="21">
        <v>0</v>
      </c>
    </row>
    <row r="52" spans="1:17" s="183" customFormat="1" ht="13.5" customHeight="1">
      <c r="A52" s="20"/>
      <c r="B52" s="15" t="s">
        <v>287</v>
      </c>
      <c r="C52" s="301" t="s">
        <v>288</v>
      </c>
      <c r="D52" s="8"/>
      <c r="E52" s="17">
        <v>14893</v>
      </c>
      <c r="F52" s="17">
        <v>0</v>
      </c>
      <c r="G52" s="17">
        <v>0</v>
      </c>
      <c r="H52" s="17">
        <v>13388</v>
      </c>
      <c r="I52" s="8">
        <v>0</v>
      </c>
      <c r="J52" s="8">
        <v>0</v>
      </c>
      <c r="K52" s="8">
        <v>10913</v>
      </c>
      <c r="L52" s="8"/>
      <c r="M52" s="8"/>
      <c r="N52" s="8">
        <f t="shared" si="5"/>
        <v>10913</v>
      </c>
      <c r="O52" s="8">
        <v>0</v>
      </c>
      <c r="P52" s="21">
        <f t="shared" si="11"/>
        <v>10913</v>
      </c>
      <c r="Q52" s="21">
        <v>0</v>
      </c>
    </row>
    <row r="53" spans="1:17" s="183" customFormat="1" ht="13.5" customHeight="1">
      <c r="A53" s="20"/>
      <c r="B53" s="15" t="s">
        <v>303</v>
      </c>
      <c r="C53" s="301" t="s">
        <v>304</v>
      </c>
      <c r="D53" s="8"/>
      <c r="E53" s="17">
        <v>8147</v>
      </c>
      <c r="F53" s="17">
        <v>0</v>
      </c>
      <c r="G53" s="17">
        <v>0</v>
      </c>
      <c r="H53" s="17">
        <v>7500</v>
      </c>
      <c r="I53" s="8">
        <v>0</v>
      </c>
      <c r="J53" s="8">
        <v>0</v>
      </c>
      <c r="K53" s="8">
        <v>9222</v>
      </c>
      <c r="L53" s="8"/>
      <c r="M53" s="8">
        <v>0</v>
      </c>
      <c r="N53" s="8">
        <f t="shared" si="5"/>
        <v>9222</v>
      </c>
      <c r="O53" s="8">
        <v>0</v>
      </c>
      <c r="P53" s="21">
        <f t="shared" si="11"/>
        <v>9222</v>
      </c>
      <c r="Q53" s="21">
        <v>0</v>
      </c>
    </row>
    <row r="54" spans="1:17" s="183" customFormat="1" ht="12.75" customHeight="1">
      <c r="A54" s="20"/>
      <c r="B54" s="15" t="s">
        <v>305</v>
      </c>
      <c r="C54" s="301" t="s">
        <v>306</v>
      </c>
      <c r="D54" s="8"/>
      <c r="E54" s="17">
        <v>132020</v>
      </c>
      <c r="F54" s="17">
        <v>700000</v>
      </c>
      <c r="G54" s="17">
        <v>0</v>
      </c>
      <c r="H54" s="17">
        <v>2525825</v>
      </c>
      <c r="I54" s="8">
        <v>0</v>
      </c>
      <c r="J54" s="8">
        <v>0</v>
      </c>
      <c r="K54" s="8">
        <v>220000</v>
      </c>
      <c r="L54" s="8">
        <v>0</v>
      </c>
      <c r="M54" s="8">
        <v>0</v>
      </c>
      <c r="N54" s="8">
        <f t="shared" si="5"/>
        <v>220000</v>
      </c>
      <c r="O54" s="8">
        <v>0</v>
      </c>
      <c r="P54" s="21">
        <f t="shared" si="11"/>
        <v>220000</v>
      </c>
      <c r="Q54" s="21">
        <v>0</v>
      </c>
    </row>
    <row r="55" spans="1:17" s="183" customFormat="1" ht="14.25" customHeight="1">
      <c r="A55" s="20"/>
      <c r="B55" s="15" t="s">
        <v>307</v>
      </c>
      <c r="C55" s="301" t="s">
        <v>181</v>
      </c>
      <c r="D55" s="8">
        <v>0</v>
      </c>
      <c r="E55" s="17">
        <v>60000</v>
      </c>
      <c r="F55" s="17">
        <v>0</v>
      </c>
      <c r="G55" s="17">
        <v>3758</v>
      </c>
      <c r="H55" s="17"/>
      <c r="I55" s="8">
        <v>0</v>
      </c>
      <c r="J55" s="8">
        <v>0</v>
      </c>
      <c r="K55" s="8">
        <v>15000</v>
      </c>
      <c r="L55" s="8">
        <v>11000</v>
      </c>
      <c r="M55" s="8"/>
      <c r="N55" s="8">
        <f t="shared" si="5"/>
        <v>26000</v>
      </c>
      <c r="O55" s="8">
        <v>0</v>
      </c>
      <c r="P55" s="21">
        <f t="shared" si="11"/>
        <v>26000</v>
      </c>
      <c r="Q55" s="21">
        <v>0</v>
      </c>
    </row>
    <row r="56" spans="1:17" s="183" customFormat="1" ht="15" customHeight="1">
      <c r="A56" s="20"/>
      <c r="B56" s="15" t="s">
        <v>536</v>
      </c>
      <c r="C56" s="301" t="s">
        <v>609</v>
      </c>
      <c r="D56" s="8"/>
      <c r="E56" s="17"/>
      <c r="F56" s="17"/>
      <c r="G56" s="17"/>
      <c r="H56" s="17"/>
      <c r="I56" s="8"/>
      <c r="J56" s="8"/>
      <c r="K56" s="8">
        <v>1988005</v>
      </c>
      <c r="L56" s="8"/>
      <c r="M56" s="8"/>
      <c r="N56" s="8">
        <f t="shared" si="5"/>
        <v>1988005</v>
      </c>
      <c r="O56" s="8">
        <v>0</v>
      </c>
      <c r="P56" s="21">
        <f t="shared" si="11"/>
        <v>1988005</v>
      </c>
      <c r="Q56" s="21">
        <v>0</v>
      </c>
    </row>
    <row r="57" spans="1:17" s="183" customFormat="1" ht="18" customHeight="1">
      <c r="A57" s="20"/>
      <c r="B57" s="15" t="s">
        <v>694</v>
      </c>
      <c r="C57" s="301" t="s">
        <v>609</v>
      </c>
      <c r="D57" s="8"/>
      <c r="E57" s="17"/>
      <c r="F57" s="17"/>
      <c r="G57" s="17"/>
      <c r="H57" s="17"/>
      <c r="I57" s="8"/>
      <c r="J57" s="8"/>
      <c r="K57" s="8">
        <v>702669</v>
      </c>
      <c r="L57" s="8">
        <v>319000</v>
      </c>
      <c r="M57" s="8">
        <v>200000</v>
      </c>
      <c r="N57" s="8">
        <f t="shared" si="5"/>
        <v>821669</v>
      </c>
      <c r="O57" s="8">
        <v>0</v>
      </c>
      <c r="P57" s="21">
        <f t="shared" si="11"/>
        <v>821669</v>
      </c>
      <c r="Q57" s="21">
        <v>0</v>
      </c>
    </row>
    <row r="58" spans="1:17" s="183" customFormat="1" ht="21.75" customHeight="1">
      <c r="A58" s="173" t="s">
        <v>308</v>
      </c>
      <c r="B58" s="177"/>
      <c r="C58" s="178" t="s">
        <v>309</v>
      </c>
      <c r="D58" s="174">
        <f aca="true" t="shared" si="12" ref="D58:Q58">D59</f>
        <v>15000</v>
      </c>
      <c r="E58" s="174">
        <f t="shared" si="12"/>
        <v>37000</v>
      </c>
      <c r="F58" s="174">
        <f t="shared" si="12"/>
        <v>3693</v>
      </c>
      <c r="G58" s="174">
        <f t="shared" si="12"/>
        <v>3693</v>
      </c>
      <c r="H58" s="174">
        <f aca="true" t="shared" si="13" ref="H58:M58">H59</f>
        <v>87539</v>
      </c>
      <c r="I58" s="174">
        <f t="shared" si="13"/>
        <v>0</v>
      </c>
      <c r="J58" s="174">
        <f t="shared" si="13"/>
        <v>0</v>
      </c>
      <c r="K58" s="174">
        <f t="shared" si="13"/>
        <v>282465</v>
      </c>
      <c r="L58" s="174">
        <f t="shared" si="13"/>
        <v>482305</v>
      </c>
      <c r="M58" s="174">
        <f t="shared" si="13"/>
        <v>0</v>
      </c>
      <c r="N58" s="174">
        <f t="shared" si="5"/>
        <v>764770</v>
      </c>
      <c r="O58" s="174">
        <f t="shared" si="12"/>
        <v>62000</v>
      </c>
      <c r="P58" s="174">
        <f t="shared" si="12"/>
        <v>702770</v>
      </c>
      <c r="Q58" s="176">
        <f t="shared" si="12"/>
        <v>0</v>
      </c>
    </row>
    <row r="59" spans="1:17" s="183" customFormat="1" ht="24.75" customHeight="1">
      <c r="A59" s="196" t="s">
        <v>310</v>
      </c>
      <c r="B59" s="308"/>
      <c r="C59" s="197" t="s">
        <v>311</v>
      </c>
      <c r="D59" s="169">
        <f>D63</f>
        <v>15000</v>
      </c>
      <c r="E59" s="169">
        <f>E63+E61</f>
        <v>37000</v>
      </c>
      <c r="F59" s="169">
        <f>F63+F61</f>
        <v>3693</v>
      </c>
      <c r="G59" s="169">
        <f>G63+G61</f>
        <v>3693</v>
      </c>
      <c r="H59" s="169">
        <f>H61+H63+H64+H66+H67+H60+H65</f>
        <v>87539</v>
      </c>
      <c r="I59" s="169">
        <f>I61+I63+I64+I66+I67+I60+I65</f>
        <v>0</v>
      </c>
      <c r="J59" s="169">
        <f>J61+J63+J64+J66+J67+J60+J65</f>
        <v>0</v>
      </c>
      <c r="K59" s="169">
        <f>SUM(K60:K69)</f>
        <v>282465</v>
      </c>
      <c r="L59" s="169">
        <f>SUM(L60:L69)</f>
        <v>482305</v>
      </c>
      <c r="M59" s="169">
        <f>SUM(M60:M69)</f>
        <v>0</v>
      </c>
      <c r="N59" s="169">
        <f t="shared" si="5"/>
        <v>764770</v>
      </c>
      <c r="O59" s="169">
        <f>O60+O61+O63+O64+O66+O67+O65</f>
        <v>62000</v>
      </c>
      <c r="P59" s="169">
        <f>P60+P61+P62+P63+P64+P65+P66+P67+P68+P69</f>
        <v>702770</v>
      </c>
      <c r="Q59" s="169">
        <f>Q61+Q63+Q64+Q66+Q67+Q65</f>
        <v>0</v>
      </c>
    </row>
    <row r="60" spans="1:17" s="183" customFormat="1" ht="13.5" customHeight="1">
      <c r="A60" s="14"/>
      <c r="B60" s="15" t="s">
        <v>97</v>
      </c>
      <c r="C60" s="301" t="s">
        <v>682</v>
      </c>
      <c r="D60" s="17"/>
      <c r="E60" s="17"/>
      <c r="F60" s="17"/>
      <c r="G60" s="17"/>
      <c r="H60" s="17">
        <v>3005</v>
      </c>
      <c r="I60" s="17">
        <v>0</v>
      </c>
      <c r="J60" s="17">
        <v>0</v>
      </c>
      <c r="K60" s="17">
        <v>800</v>
      </c>
      <c r="L60" s="17"/>
      <c r="M60" s="17"/>
      <c r="N60" s="8">
        <f t="shared" si="5"/>
        <v>800</v>
      </c>
      <c r="O60" s="17">
        <v>800</v>
      </c>
      <c r="P60" s="17">
        <f>K60-O60</f>
        <v>0</v>
      </c>
      <c r="Q60" s="7">
        <v>0</v>
      </c>
    </row>
    <row r="61" spans="1:17" s="183" customFormat="1" ht="14.25" customHeight="1">
      <c r="A61" s="14"/>
      <c r="B61" s="15" t="s">
        <v>277</v>
      </c>
      <c r="C61" s="301" t="s">
        <v>278</v>
      </c>
      <c r="D61" s="17"/>
      <c r="E61" s="17">
        <v>20000</v>
      </c>
      <c r="F61" s="17">
        <v>3693</v>
      </c>
      <c r="G61" s="17">
        <v>0</v>
      </c>
      <c r="H61" s="17">
        <v>10601</v>
      </c>
      <c r="I61" s="17">
        <v>0</v>
      </c>
      <c r="J61" s="17">
        <v>0</v>
      </c>
      <c r="K61" s="8">
        <v>3930</v>
      </c>
      <c r="L61" s="8"/>
      <c r="M61" s="17"/>
      <c r="N61" s="8">
        <f t="shared" si="5"/>
        <v>3930</v>
      </c>
      <c r="O61" s="17">
        <v>3930</v>
      </c>
      <c r="P61" s="17">
        <f>N61-O61</f>
        <v>0</v>
      </c>
      <c r="Q61" s="18">
        <v>0</v>
      </c>
    </row>
    <row r="62" spans="1:17" s="183" customFormat="1" ht="13.5" customHeight="1">
      <c r="A62" s="14"/>
      <c r="B62" s="15" t="s">
        <v>279</v>
      </c>
      <c r="C62" s="301" t="s">
        <v>398</v>
      </c>
      <c r="D62" s="17"/>
      <c r="E62" s="17"/>
      <c r="F62" s="17"/>
      <c r="G62" s="17"/>
      <c r="H62" s="17"/>
      <c r="I62" s="17"/>
      <c r="J62" s="17"/>
      <c r="K62" s="8">
        <v>0</v>
      </c>
      <c r="L62" s="8">
        <v>0</v>
      </c>
      <c r="M62" s="17">
        <v>0</v>
      </c>
      <c r="N62" s="8">
        <f t="shared" si="5"/>
        <v>0</v>
      </c>
      <c r="O62" s="17">
        <v>0</v>
      </c>
      <c r="P62" s="17">
        <f aca="true" t="shared" si="14" ref="P62:P69">N62-O62</f>
        <v>0</v>
      </c>
      <c r="Q62" s="18"/>
    </row>
    <row r="63" spans="1:17" s="183" customFormat="1" ht="13.5" customHeight="1">
      <c r="A63" s="25"/>
      <c r="B63" s="15" t="s">
        <v>281</v>
      </c>
      <c r="C63" s="301" t="s">
        <v>282</v>
      </c>
      <c r="D63" s="8">
        <v>15000</v>
      </c>
      <c r="E63" s="17">
        <v>17000</v>
      </c>
      <c r="F63" s="17">
        <v>0</v>
      </c>
      <c r="G63" s="17">
        <v>3693</v>
      </c>
      <c r="H63" s="17">
        <v>65521</v>
      </c>
      <c r="I63" s="17">
        <v>0</v>
      </c>
      <c r="J63" s="17">
        <v>0</v>
      </c>
      <c r="K63" s="8">
        <v>51088</v>
      </c>
      <c r="L63" s="8"/>
      <c r="M63" s="17">
        <v>0</v>
      </c>
      <c r="N63" s="8">
        <f t="shared" si="5"/>
        <v>51088</v>
      </c>
      <c r="O63" s="17">
        <v>41402</v>
      </c>
      <c r="P63" s="17">
        <f t="shared" si="14"/>
        <v>9686</v>
      </c>
      <c r="Q63" s="21">
        <v>0</v>
      </c>
    </row>
    <row r="64" spans="1:17" s="183" customFormat="1" ht="14.25" customHeight="1">
      <c r="A64" s="25"/>
      <c r="B64" s="15" t="s">
        <v>285</v>
      </c>
      <c r="C64" s="301" t="s">
        <v>286</v>
      </c>
      <c r="D64" s="8"/>
      <c r="E64" s="17"/>
      <c r="F64" s="17"/>
      <c r="G64" s="17"/>
      <c r="H64" s="17">
        <v>1357</v>
      </c>
      <c r="I64" s="17">
        <v>0</v>
      </c>
      <c r="J64" s="17">
        <v>0</v>
      </c>
      <c r="K64" s="8">
        <v>60000</v>
      </c>
      <c r="L64" s="8"/>
      <c r="M64" s="17"/>
      <c r="N64" s="8">
        <f t="shared" si="5"/>
        <v>60000</v>
      </c>
      <c r="O64" s="17">
        <v>0</v>
      </c>
      <c r="P64" s="17">
        <f t="shared" si="14"/>
        <v>60000</v>
      </c>
      <c r="Q64" s="21">
        <v>0</v>
      </c>
    </row>
    <row r="65" spans="1:17" s="183" customFormat="1" ht="13.5" customHeight="1">
      <c r="A65" s="25"/>
      <c r="B65" s="15" t="s">
        <v>303</v>
      </c>
      <c r="C65" s="301" t="s">
        <v>304</v>
      </c>
      <c r="D65" s="8"/>
      <c r="E65" s="17"/>
      <c r="F65" s="17"/>
      <c r="G65" s="17"/>
      <c r="H65" s="17">
        <v>55</v>
      </c>
      <c r="I65" s="17">
        <v>0</v>
      </c>
      <c r="J65" s="17">
        <v>0</v>
      </c>
      <c r="K65" s="8">
        <v>11842</v>
      </c>
      <c r="L65" s="8">
        <v>0</v>
      </c>
      <c r="M65" s="17"/>
      <c r="N65" s="8">
        <f t="shared" si="5"/>
        <v>11842</v>
      </c>
      <c r="O65" s="17">
        <v>11728</v>
      </c>
      <c r="P65" s="17">
        <f t="shared" si="14"/>
        <v>114</v>
      </c>
      <c r="Q65" s="21"/>
    </row>
    <row r="66" spans="1:17" s="183" customFormat="1" ht="12" customHeight="1">
      <c r="A66" s="25"/>
      <c r="B66" s="15" t="s">
        <v>348</v>
      </c>
      <c r="C66" s="301" t="s">
        <v>382</v>
      </c>
      <c r="D66" s="8"/>
      <c r="E66" s="17"/>
      <c r="F66" s="17"/>
      <c r="G66" s="17"/>
      <c r="H66" s="17">
        <v>213</v>
      </c>
      <c r="I66" s="17">
        <v>0</v>
      </c>
      <c r="J66" s="17">
        <v>0</v>
      </c>
      <c r="K66" s="8">
        <v>4140</v>
      </c>
      <c r="L66" s="8"/>
      <c r="M66" s="17">
        <v>0</v>
      </c>
      <c r="N66" s="8">
        <f t="shared" si="5"/>
        <v>4140</v>
      </c>
      <c r="O66" s="17">
        <v>4140</v>
      </c>
      <c r="P66" s="17">
        <f t="shared" si="14"/>
        <v>0</v>
      </c>
      <c r="Q66" s="21">
        <v>0</v>
      </c>
    </row>
    <row r="67" spans="1:17" s="183" customFormat="1" ht="14.25" customHeight="1">
      <c r="A67" s="25"/>
      <c r="B67" s="15" t="s">
        <v>402</v>
      </c>
      <c r="C67" s="301" t="s">
        <v>690</v>
      </c>
      <c r="D67" s="8"/>
      <c r="E67" s="17"/>
      <c r="F67" s="17"/>
      <c r="G67" s="17"/>
      <c r="H67" s="17">
        <v>6787</v>
      </c>
      <c r="I67" s="17">
        <v>0</v>
      </c>
      <c r="J67" s="17">
        <v>0</v>
      </c>
      <c r="K67" s="8">
        <v>16755</v>
      </c>
      <c r="L67" s="8">
        <v>0</v>
      </c>
      <c r="M67" s="17"/>
      <c r="N67" s="8">
        <f t="shared" si="5"/>
        <v>16755</v>
      </c>
      <c r="O67" s="17">
        <v>0</v>
      </c>
      <c r="P67" s="17">
        <f t="shared" si="14"/>
        <v>16755</v>
      </c>
      <c r="Q67" s="21">
        <v>0</v>
      </c>
    </row>
    <row r="68" spans="1:17" s="183" customFormat="1" ht="34.5" customHeight="1">
      <c r="A68" s="25"/>
      <c r="B68" s="15" t="s">
        <v>204</v>
      </c>
      <c r="C68" s="301" t="s">
        <v>205</v>
      </c>
      <c r="D68" s="8"/>
      <c r="E68" s="17"/>
      <c r="F68" s="17"/>
      <c r="G68" s="17"/>
      <c r="H68" s="17"/>
      <c r="I68" s="17"/>
      <c r="J68" s="17"/>
      <c r="K68" s="8">
        <v>0</v>
      </c>
      <c r="L68" s="8">
        <v>1168</v>
      </c>
      <c r="M68" s="17"/>
      <c r="N68" s="8">
        <f t="shared" si="5"/>
        <v>1168</v>
      </c>
      <c r="O68" s="17">
        <v>0</v>
      </c>
      <c r="P68" s="17">
        <f t="shared" si="14"/>
        <v>1168</v>
      </c>
      <c r="Q68" s="21"/>
    </row>
    <row r="69" spans="1:17" s="183" customFormat="1" ht="14.25" customHeight="1">
      <c r="A69" s="25"/>
      <c r="B69" s="15" t="s">
        <v>305</v>
      </c>
      <c r="C69" s="301" t="s">
        <v>306</v>
      </c>
      <c r="D69" s="8"/>
      <c r="E69" s="17"/>
      <c r="F69" s="17"/>
      <c r="G69" s="17"/>
      <c r="H69" s="17"/>
      <c r="I69" s="17"/>
      <c r="J69" s="17"/>
      <c r="K69" s="8">
        <v>133910</v>
      </c>
      <c r="L69" s="8">
        <v>481137</v>
      </c>
      <c r="M69" s="17"/>
      <c r="N69" s="8">
        <f t="shared" si="5"/>
        <v>615047</v>
      </c>
      <c r="O69" s="17">
        <v>0</v>
      </c>
      <c r="P69" s="17">
        <f t="shared" si="14"/>
        <v>615047</v>
      </c>
      <c r="Q69" s="21"/>
    </row>
    <row r="70" spans="1:17" s="183" customFormat="1" ht="15" customHeight="1">
      <c r="A70" s="173" t="s">
        <v>313</v>
      </c>
      <c r="B70" s="177"/>
      <c r="C70" s="179" t="s">
        <v>314</v>
      </c>
      <c r="D70" s="174" t="e">
        <f aca="true" t="shared" si="15" ref="D70:Q70">D71+D73+D75</f>
        <v>#REF!</v>
      </c>
      <c r="E70" s="174" t="e">
        <f t="shared" si="15"/>
        <v>#REF!</v>
      </c>
      <c r="F70" s="174" t="e">
        <f t="shared" si="15"/>
        <v>#REF!</v>
      </c>
      <c r="G70" s="174" t="e">
        <f t="shared" si="15"/>
        <v>#REF!</v>
      </c>
      <c r="H70" s="174" t="e">
        <f aca="true" t="shared" si="16" ref="H70:M70">H71+H73+H75</f>
        <v>#REF!</v>
      </c>
      <c r="I70" s="174" t="e">
        <f t="shared" si="16"/>
        <v>#REF!</v>
      </c>
      <c r="J70" s="174" t="e">
        <f t="shared" si="16"/>
        <v>#REF!</v>
      </c>
      <c r="K70" s="174">
        <f t="shared" si="16"/>
        <v>246547</v>
      </c>
      <c r="L70" s="174">
        <f t="shared" si="16"/>
        <v>2000</v>
      </c>
      <c r="M70" s="174">
        <f t="shared" si="16"/>
        <v>2000</v>
      </c>
      <c r="N70" s="174">
        <f t="shared" si="5"/>
        <v>246547</v>
      </c>
      <c r="O70" s="174">
        <f t="shared" si="15"/>
        <v>246547</v>
      </c>
      <c r="P70" s="176">
        <f t="shared" si="15"/>
        <v>0</v>
      </c>
      <c r="Q70" s="176">
        <f t="shared" si="15"/>
        <v>0</v>
      </c>
    </row>
    <row r="71" spans="1:17" s="183" customFormat="1" ht="23.25" customHeight="1">
      <c r="A71" s="196" t="s">
        <v>315</v>
      </c>
      <c r="B71" s="207"/>
      <c r="C71" s="197" t="s">
        <v>323</v>
      </c>
      <c r="D71" s="169">
        <f aca="true" t="shared" si="17" ref="D71:Q71">D72</f>
        <v>79900</v>
      </c>
      <c r="E71" s="169">
        <f t="shared" si="17"/>
        <v>52100</v>
      </c>
      <c r="F71" s="169">
        <f t="shared" si="17"/>
        <v>0</v>
      </c>
      <c r="G71" s="169">
        <f t="shared" si="17"/>
        <v>0</v>
      </c>
      <c r="H71" s="169">
        <f t="shared" si="17"/>
        <v>52000</v>
      </c>
      <c r="I71" s="169">
        <f t="shared" si="17"/>
        <v>0</v>
      </c>
      <c r="J71" s="169">
        <f t="shared" si="17"/>
        <v>0</v>
      </c>
      <c r="K71" s="169">
        <f>K72</f>
        <v>40000</v>
      </c>
      <c r="L71" s="169">
        <f>L72</f>
        <v>0</v>
      </c>
      <c r="M71" s="169">
        <f>M72</f>
        <v>0</v>
      </c>
      <c r="N71" s="169">
        <f t="shared" si="5"/>
        <v>40000</v>
      </c>
      <c r="O71" s="169">
        <f t="shared" si="17"/>
        <v>40000</v>
      </c>
      <c r="P71" s="167">
        <f t="shared" si="17"/>
        <v>0</v>
      </c>
      <c r="Q71" s="167">
        <f t="shared" si="17"/>
        <v>0</v>
      </c>
    </row>
    <row r="72" spans="1:17" s="183" customFormat="1" ht="14.25" customHeight="1">
      <c r="A72" s="25"/>
      <c r="B72" s="15" t="s">
        <v>281</v>
      </c>
      <c r="C72" s="301" t="s">
        <v>282</v>
      </c>
      <c r="D72" s="8">
        <v>79900</v>
      </c>
      <c r="E72" s="17">
        <v>52100</v>
      </c>
      <c r="F72" s="17">
        <v>0</v>
      </c>
      <c r="G72" s="17">
        <v>0</v>
      </c>
      <c r="H72" s="17">
        <v>52000</v>
      </c>
      <c r="I72" s="17">
        <v>0</v>
      </c>
      <c r="J72" s="17">
        <v>0</v>
      </c>
      <c r="K72" s="8">
        <v>40000</v>
      </c>
      <c r="L72" s="8"/>
      <c r="M72" s="17"/>
      <c r="N72" s="8">
        <f t="shared" si="5"/>
        <v>40000</v>
      </c>
      <c r="O72" s="17">
        <f>N72</f>
        <v>40000</v>
      </c>
      <c r="P72" s="21">
        <v>0</v>
      </c>
      <c r="Q72" s="21">
        <v>0</v>
      </c>
    </row>
    <row r="73" spans="1:17" s="183" customFormat="1" ht="17.25" customHeight="1">
      <c r="A73" s="196" t="s">
        <v>324</v>
      </c>
      <c r="B73" s="207"/>
      <c r="C73" s="197" t="s">
        <v>220</v>
      </c>
      <c r="D73" s="169">
        <f aca="true" t="shared" si="18" ref="D73:Q73">D74</f>
        <v>20000</v>
      </c>
      <c r="E73" s="169">
        <f t="shared" si="18"/>
        <v>8000</v>
      </c>
      <c r="F73" s="169">
        <f t="shared" si="18"/>
        <v>0</v>
      </c>
      <c r="G73" s="169">
        <f t="shared" si="18"/>
        <v>0</v>
      </c>
      <c r="H73" s="169">
        <f t="shared" si="18"/>
        <v>4000</v>
      </c>
      <c r="I73" s="169">
        <f t="shared" si="18"/>
        <v>0</v>
      </c>
      <c r="J73" s="169">
        <f t="shared" si="18"/>
        <v>0</v>
      </c>
      <c r="K73" s="169">
        <f>K74</f>
        <v>25000</v>
      </c>
      <c r="L73" s="169">
        <f>L74</f>
        <v>0</v>
      </c>
      <c r="M73" s="169">
        <f>M74</f>
        <v>0</v>
      </c>
      <c r="N73" s="169">
        <f t="shared" si="5"/>
        <v>25000</v>
      </c>
      <c r="O73" s="169">
        <f t="shared" si="18"/>
        <v>25000</v>
      </c>
      <c r="P73" s="167">
        <f t="shared" si="18"/>
        <v>0</v>
      </c>
      <c r="Q73" s="167">
        <f t="shared" si="18"/>
        <v>0</v>
      </c>
    </row>
    <row r="74" spans="1:17" s="183" customFormat="1" ht="15.75" customHeight="1">
      <c r="A74" s="25"/>
      <c r="B74" s="15" t="s">
        <v>281</v>
      </c>
      <c r="C74" s="301" t="s">
        <v>282</v>
      </c>
      <c r="D74" s="8">
        <v>20000</v>
      </c>
      <c r="E74" s="17">
        <v>8000</v>
      </c>
      <c r="F74" s="17">
        <v>0</v>
      </c>
      <c r="G74" s="17">
        <v>0</v>
      </c>
      <c r="H74" s="17">
        <v>4000</v>
      </c>
      <c r="I74" s="17">
        <v>0</v>
      </c>
      <c r="J74" s="17">
        <v>0</v>
      </c>
      <c r="K74" s="8">
        <v>25000</v>
      </c>
      <c r="L74" s="8">
        <v>0</v>
      </c>
      <c r="M74" s="17"/>
      <c r="N74" s="8">
        <f t="shared" si="5"/>
        <v>25000</v>
      </c>
      <c r="O74" s="17">
        <f>N74</f>
        <v>25000</v>
      </c>
      <c r="P74" s="21">
        <v>0</v>
      </c>
      <c r="Q74" s="21">
        <v>0</v>
      </c>
    </row>
    <row r="75" spans="1:17" s="183" customFormat="1" ht="15" customHeight="1">
      <c r="A75" s="196" t="s">
        <v>326</v>
      </c>
      <c r="B75" s="207"/>
      <c r="C75" s="197" t="s">
        <v>327</v>
      </c>
      <c r="D75" s="169" t="e">
        <f>D76+D78+D79+#REF!</f>
        <v>#REF!</v>
      </c>
      <c r="E75" s="169" t="e">
        <f>E76+E78+E79+E80+#REF!+E81+E83+E84+E86</f>
        <v>#REF!</v>
      </c>
      <c r="F75" s="169" t="e">
        <f>F76+F78+F79+F80+#REF!+F81+F83+F84+F86</f>
        <v>#REF!</v>
      </c>
      <c r="G75" s="169" t="e">
        <f>G76+G78+G79+G80+#REF!+G81+G83+G84+G86</f>
        <v>#REF!</v>
      </c>
      <c r="H75" s="169" t="e">
        <f>H76+H78+H79+H80+#REF!+H81+H83+H84+H86+H77</f>
        <v>#REF!</v>
      </c>
      <c r="I75" s="169" t="e">
        <f>I76+I78+I79+I80+#REF!+I81+I83+I84+I86+I77</f>
        <v>#REF!</v>
      </c>
      <c r="J75" s="169" t="e">
        <f>J76+J78+J79+J80+#REF!+J81+J83+J84+J86+J77</f>
        <v>#REF!</v>
      </c>
      <c r="K75" s="169">
        <f>SUM(K76:K86)</f>
        <v>181547</v>
      </c>
      <c r="L75" s="169">
        <f>SUM(L76:L86)</f>
        <v>2000</v>
      </c>
      <c r="M75" s="169">
        <f>SUM(M76:M86)</f>
        <v>2000</v>
      </c>
      <c r="N75" s="169">
        <f t="shared" si="5"/>
        <v>181547</v>
      </c>
      <c r="O75" s="169">
        <f>SUM(O76:O86)</f>
        <v>181547</v>
      </c>
      <c r="P75" s="169">
        <f>SUM(P76:P86)</f>
        <v>0</v>
      </c>
      <c r="Q75" s="169">
        <f>SUM(Q76:Q86)</f>
        <v>0</v>
      </c>
    </row>
    <row r="76" spans="1:17" s="183" customFormat="1" ht="13.5" customHeight="1">
      <c r="A76" s="25"/>
      <c r="B76" s="15" t="s">
        <v>265</v>
      </c>
      <c r="C76" s="301" t="s">
        <v>182</v>
      </c>
      <c r="D76" s="8">
        <v>49324</v>
      </c>
      <c r="E76" s="17">
        <v>53163</v>
      </c>
      <c r="F76" s="17">
        <v>0</v>
      </c>
      <c r="G76" s="17">
        <v>0</v>
      </c>
      <c r="H76" s="17">
        <v>34560</v>
      </c>
      <c r="I76" s="17">
        <v>0</v>
      </c>
      <c r="J76" s="17">
        <v>0</v>
      </c>
      <c r="K76" s="8">
        <v>49200</v>
      </c>
      <c r="L76" s="8"/>
      <c r="M76" s="17"/>
      <c r="N76" s="8">
        <f t="shared" si="5"/>
        <v>49200</v>
      </c>
      <c r="O76" s="17">
        <f>N76</f>
        <v>49200</v>
      </c>
      <c r="P76" s="21">
        <v>0</v>
      </c>
      <c r="Q76" s="21">
        <v>0</v>
      </c>
    </row>
    <row r="77" spans="1:17" s="183" customFormat="1" ht="14.25" customHeight="1">
      <c r="A77" s="25"/>
      <c r="B77" s="15" t="s">
        <v>267</v>
      </c>
      <c r="C77" s="301" t="s">
        <v>183</v>
      </c>
      <c r="D77" s="8"/>
      <c r="E77" s="17"/>
      <c r="F77" s="17"/>
      <c r="G77" s="17"/>
      <c r="H77" s="17">
        <v>22800</v>
      </c>
      <c r="I77" s="17">
        <v>0</v>
      </c>
      <c r="J77" s="17">
        <v>0</v>
      </c>
      <c r="K77" s="8">
        <v>78200</v>
      </c>
      <c r="L77" s="8"/>
      <c r="M77" s="17"/>
      <c r="N77" s="8">
        <f t="shared" si="5"/>
        <v>78200</v>
      </c>
      <c r="O77" s="17">
        <f aca="true" t="shared" si="19" ref="O77:O86">N77</f>
        <v>78200</v>
      </c>
      <c r="P77" s="21">
        <v>0</v>
      </c>
      <c r="Q77" s="21">
        <v>0</v>
      </c>
    </row>
    <row r="78" spans="1:17" s="183" customFormat="1" ht="14.25" customHeight="1">
      <c r="A78" s="25"/>
      <c r="B78" s="15" t="s">
        <v>269</v>
      </c>
      <c r="C78" s="301" t="s">
        <v>270</v>
      </c>
      <c r="D78" s="8">
        <v>2600</v>
      </c>
      <c r="E78" s="17">
        <v>4103</v>
      </c>
      <c r="F78" s="17">
        <v>0</v>
      </c>
      <c r="G78" s="17">
        <v>0</v>
      </c>
      <c r="H78" s="17">
        <v>4508</v>
      </c>
      <c r="I78" s="17">
        <v>0</v>
      </c>
      <c r="J78" s="17">
        <v>0</v>
      </c>
      <c r="K78" s="8">
        <v>8864</v>
      </c>
      <c r="L78" s="8"/>
      <c r="M78" s="17"/>
      <c r="N78" s="8">
        <f t="shared" si="5"/>
        <v>8864</v>
      </c>
      <c r="O78" s="17">
        <f t="shared" si="19"/>
        <v>8864</v>
      </c>
      <c r="P78" s="21">
        <v>0</v>
      </c>
      <c r="Q78" s="21">
        <v>0</v>
      </c>
    </row>
    <row r="79" spans="1:17" s="183" customFormat="1" ht="12" customHeight="1">
      <c r="A79" s="25"/>
      <c r="B79" s="22" t="s">
        <v>328</v>
      </c>
      <c r="C79" s="301" t="s">
        <v>299</v>
      </c>
      <c r="D79" s="8">
        <v>10556</v>
      </c>
      <c r="E79" s="17">
        <v>10240</v>
      </c>
      <c r="F79" s="17">
        <v>0</v>
      </c>
      <c r="G79" s="17">
        <v>0</v>
      </c>
      <c r="H79" s="17">
        <v>11254</v>
      </c>
      <c r="I79" s="17">
        <v>0</v>
      </c>
      <c r="J79" s="17">
        <v>0</v>
      </c>
      <c r="K79" s="8">
        <v>24786</v>
      </c>
      <c r="L79" s="8"/>
      <c r="M79" s="17"/>
      <c r="N79" s="8">
        <f t="shared" si="5"/>
        <v>24786</v>
      </c>
      <c r="O79" s="17">
        <f t="shared" si="19"/>
        <v>24786</v>
      </c>
      <c r="P79" s="21">
        <v>0</v>
      </c>
      <c r="Q79" s="21">
        <v>0</v>
      </c>
    </row>
    <row r="80" spans="1:17" s="183" customFormat="1" ht="14.25" customHeight="1">
      <c r="A80" s="25"/>
      <c r="B80" s="22" t="s">
        <v>273</v>
      </c>
      <c r="C80" s="301" t="s">
        <v>274</v>
      </c>
      <c r="D80" s="8"/>
      <c r="E80" s="17">
        <v>1403</v>
      </c>
      <c r="F80" s="17">
        <v>0</v>
      </c>
      <c r="G80" s="17">
        <v>0</v>
      </c>
      <c r="H80" s="17">
        <v>1516</v>
      </c>
      <c r="I80" s="17">
        <v>0</v>
      </c>
      <c r="J80" s="17">
        <v>0</v>
      </c>
      <c r="K80" s="8">
        <v>3338</v>
      </c>
      <c r="L80" s="8"/>
      <c r="M80" s="17"/>
      <c r="N80" s="8">
        <f t="shared" si="5"/>
        <v>3338</v>
      </c>
      <c r="O80" s="17">
        <f t="shared" si="19"/>
        <v>3338</v>
      </c>
      <c r="P80" s="21">
        <v>0</v>
      </c>
      <c r="Q80" s="21">
        <v>0</v>
      </c>
    </row>
    <row r="81" spans="1:17" s="183" customFormat="1" ht="14.25" customHeight="1">
      <c r="A81" s="25"/>
      <c r="B81" s="15" t="s">
        <v>275</v>
      </c>
      <c r="C81" s="301" t="s">
        <v>302</v>
      </c>
      <c r="D81" s="8"/>
      <c r="E81" s="17">
        <v>2270</v>
      </c>
      <c r="F81" s="17">
        <v>0</v>
      </c>
      <c r="G81" s="17">
        <v>0</v>
      </c>
      <c r="H81" s="17">
        <v>300</v>
      </c>
      <c r="I81" s="17">
        <v>0</v>
      </c>
      <c r="J81" s="17">
        <v>0</v>
      </c>
      <c r="K81" s="8">
        <v>3000</v>
      </c>
      <c r="L81" s="8"/>
      <c r="M81" s="17"/>
      <c r="N81" s="8">
        <f t="shared" si="5"/>
        <v>3000</v>
      </c>
      <c r="O81" s="17">
        <f t="shared" si="19"/>
        <v>3000</v>
      </c>
      <c r="P81" s="21">
        <v>0</v>
      </c>
      <c r="Q81" s="21">
        <v>0</v>
      </c>
    </row>
    <row r="82" spans="1:17" s="183" customFormat="1" ht="12.75" customHeight="1">
      <c r="A82" s="25"/>
      <c r="B82" s="15" t="s">
        <v>277</v>
      </c>
      <c r="C82" s="301" t="s">
        <v>397</v>
      </c>
      <c r="D82" s="8"/>
      <c r="E82" s="17"/>
      <c r="F82" s="17"/>
      <c r="G82" s="17"/>
      <c r="H82" s="17"/>
      <c r="I82" s="17"/>
      <c r="J82" s="17"/>
      <c r="K82" s="8">
        <v>4277</v>
      </c>
      <c r="L82" s="8"/>
      <c r="M82" s="17">
        <v>2000</v>
      </c>
      <c r="N82" s="8">
        <f t="shared" si="5"/>
        <v>2277</v>
      </c>
      <c r="O82" s="17">
        <f t="shared" si="19"/>
        <v>2277</v>
      </c>
      <c r="P82" s="21"/>
      <c r="Q82" s="21"/>
    </row>
    <row r="83" spans="1:17" s="183" customFormat="1" ht="13.5" customHeight="1">
      <c r="A83" s="25"/>
      <c r="B83" s="15" t="s">
        <v>281</v>
      </c>
      <c r="C83" s="301" t="s">
        <v>282</v>
      </c>
      <c r="D83" s="8"/>
      <c r="E83" s="17">
        <v>4000</v>
      </c>
      <c r="F83" s="17">
        <v>0</v>
      </c>
      <c r="G83" s="17">
        <v>0</v>
      </c>
      <c r="H83" s="17">
        <v>3097</v>
      </c>
      <c r="I83" s="17">
        <v>0</v>
      </c>
      <c r="J83" s="17">
        <v>0</v>
      </c>
      <c r="K83" s="8">
        <v>4125</v>
      </c>
      <c r="L83" s="8">
        <v>2000</v>
      </c>
      <c r="M83" s="17"/>
      <c r="N83" s="8">
        <f t="shared" si="5"/>
        <v>6125</v>
      </c>
      <c r="O83" s="17">
        <f t="shared" si="19"/>
        <v>6125</v>
      </c>
      <c r="P83" s="21">
        <v>0</v>
      </c>
      <c r="Q83" s="21">
        <v>0</v>
      </c>
    </row>
    <row r="84" spans="1:17" s="183" customFormat="1" ht="13.5" customHeight="1">
      <c r="A84" s="25"/>
      <c r="B84" s="15" t="s">
        <v>283</v>
      </c>
      <c r="C84" s="301" t="s">
        <v>284</v>
      </c>
      <c r="D84" s="8"/>
      <c r="E84" s="17">
        <v>2500</v>
      </c>
      <c r="F84" s="17">
        <v>0</v>
      </c>
      <c r="G84" s="17">
        <v>0</v>
      </c>
      <c r="H84" s="17">
        <v>2478</v>
      </c>
      <c r="I84" s="17">
        <v>0</v>
      </c>
      <c r="J84" s="17">
        <v>0</v>
      </c>
      <c r="K84" s="8">
        <v>500</v>
      </c>
      <c r="L84" s="8"/>
      <c r="M84" s="17"/>
      <c r="N84" s="8">
        <f t="shared" si="5"/>
        <v>500</v>
      </c>
      <c r="O84" s="17">
        <f t="shared" si="19"/>
        <v>500</v>
      </c>
      <c r="P84" s="21">
        <v>0</v>
      </c>
      <c r="Q84" s="21">
        <v>0</v>
      </c>
    </row>
    <row r="85" spans="1:17" s="183" customFormat="1" ht="13.5" customHeight="1">
      <c r="A85" s="25"/>
      <c r="B85" s="15" t="s">
        <v>285</v>
      </c>
      <c r="C85" s="301" t="s">
        <v>286</v>
      </c>
      <c r="D85" s="8"/>
      <c r="E85" s="17"/>
      <c r="F85" s="17"/>
      <c r="G85" s="17"/>
      <c r="H85" s="17"/>
      <c r="I85" s="17"/>
      <c r="J85" s="17"/>
      <c r="K85" s="8">
        <v>2200</v>
      </c>
      <c r="L85" s="8"/>
      <c r="M85" s="17"/>
      <c r="N85" s="8">
        <f t="shared" si="5"/>
        <v>2200</v>
      </c>
      <c r="O85" s="17">
        <f t="shared" si="19"/>
        <v>2200</v>
      </c>
      <c r="P85" s="21">
        <v>0</v>
      </c>
      <c r="Q85" s="21">
        <v>0</v>
      </c>
    </row>
    <row r="86" spans="1:17" s="183" customFormat="1" ht="14.25" customHeight="1">
      <c r="A86" s="25"/>
      <c r="B86" s="15" t="s">
        <v>287</v>
      </c>
      <c r="C86" s="301" t="s">
        <v>288</v>
      </c>
      <c r="D86" s="8"/>
      <c r="E86" s="17">
        <v>1241</v>
      </c>
      <c r="F86" s="17">
        <v>0</v>
      </c>
      <c r="G86" s="17">
        <v>0</v>
      </c>
      <c r="H86" s="17">
        <v>1353</v>
      </c>
      <c r="I86" s="17">
        <v>0</v>
      </c>
      <c r="J86" s="17">
        <v>0</v>
      </c>
      <c r="K86" s="8">
        <v>3057</v>
      </c>
      <c r="L86" s="8">
        <v>0</v>
      </c>
      <c r="M86" s="17"/>
      <c r="N86" s="8">
        <f t="shared" si="5"/>
        <v>3057</v>
      </c>
      <c r="O86" s="17">
        <f t="shared" si="19"/>
        <v>3057</v>
      </c>
      <c r="P86" s="21">
        <v>0</v>
      </c>
      <c r="Q86" s="21">
        <v>0</v>
      </c>
    </row>
    <row r="87" spans="1:17" s="183" customFormat="1" ht="18.75" customHeight="1">
      <c r="A87" s="173" t="s">
        <v>329</v>
      </c>
      <c r="B87" s="177"/>
      <c r="C87" s="179" t="s">
        <v>330</v>
      </c>
      <c r="D87" s="174" t="e">
        <f>D88+D100+D107+D128+D141</f>
        <v>#REF!</v>
      </c>
      <c r="E87" s="174" t="e">
        <f>E88+E100+E107+E128+E141</f>
        <v>#REF!</v>
      </c>
      <c r="F87" s="174" t="e">
        <f>F88+F100+F107+F128+F141</f>
        <v>#REF!</v>
      </c>
      <c r="G87" s="174" t="e">
        <f>G88+G100+G107+G128+G141</f>
        <v>#REF!</v>
      </c>
      <c r="H87" s="174" t="e">
        <f>H88+H100+H107+H128+H141+#REF!</f>
        <v>#REF!</v>
      </c>
      <c r="I87" s="174" t="e">
        <f>I88+I100+I107+I128+I141+#REF!</f>
        <v>#REF!</v>
      </c>
      <c r="J87" s="174" t="e">
        <f>J88+J100+J107+J128+J141+#REF!</f>
        <v>#REF!</v>
      </c>
      <c r="K87" s="174">
        <f>K88+K98+K100+K107+K128+K136+K141</f>
        <v>2486211</v>
      </c>
      <c r="L87" s="174">
        <f>L88+L98+L100+L107+L128+L136+L141</f>
        <v>78800</v>
      </c>
      <c r="M87" s="174">
        <f>M88+M98+M100+M107+M128+M136+M141</f>
        <v>4000</v>
      </c>
      <c r="N87" s="174">
        <f aca="true" t="shared" si="20" ref="N87:N141">K87+L87-M87</f>
        <v>2561011</v>
      </c>
      <c r="O87" s="174">
        <f>O88+O98+O100+O107+O128+O136+O141</f>
        <v>115748</v>
      </c>
      <c r="P87" s="174">
        <f>P88+P98+P100+P107+P128+P136+P141</f>
        <v>2389883</v>
      </c>
      <c r="Q87" s="174">
        <f>Q88+Q98+Q100+Q107+Q128+Q136+Q141</f>
        <v>55380</v>
      </c>
    </row>
    <row r="88" spans="1:17" s="183" customFormat="1" ht="18" customHeight="1">
      <c r="A88" s="196" t="s">
        <v>331</v>
      </c>
      <c r="B88" s="207"/>
      <c r="C88" s="197" t="s">
        <v>332</v>
      </c>
      <c r="D88" s="169" t="e">
        <f>D89+D90+D91+#REF!</f>
        <v>#REF!</v>
      </c>
      <c r="E88" s="169" t="e">
        <f>E89+E90+E91+E92+#REF!+E94</f>
        <v>#REF!</v>
      </c>
      <c r="F88" s="169" t="e">
        <f>F89+F90+F91+F92+#REF!+F94</f>
        <v>#REF!</v>
      </c>
      <c r="G88" s="169" t="e">
        <f>G89+G90+G91+G92+#REF!+G94</f>
        <v>#REF!</v>
      </c>
      <c r="H88" s="169" t="e">
        <f>H89+H90+H91+H92+#REF!+H94+H95+H96+H97+#REF!</f>
        <v>#REF!</v>
      </c>
      <c r="I88" s="169" t="e">
        <f>I89+I90+I91+I92+#REF!+I94+I95+I96+I97+#REF!</f>
        <v>#REF!</v>
      </c>
      <c r="J88" s="169" t="e">
        <f>J89+J90+J91+J92+#REF!+J94+J95+J96+J97+#REF!</f>
        <v>#REF!</v>
      </c>
      <c r="K88" s="169">
        <f>SUM(K89:K97)</f>
        <v>102748</v>
      </c>
      <c r="L88" s="169">
        <f>SUM(L89:L97)</f>
        <v>0</v>
      </c>
      <c r="M88" s="169">
        <f>SUM(M89:M97)</f>
        <v>0</v>
      </c>
      <c r="N88" s="169">
        <f t="shared" si="20"/>
        <v>102748</v>
      </c>
      <c r="O88" s="169">
        <f>SUM(O89:O97)</f>
        <v>102748</v>
      </c>
      <c r="P88" s="169">
        <f>SUM(P89:P97)</f>
        <v>0</v>
      </c>
      <c r="Q88" s="169">
        <f>SUM(Q89:Q97)</f>
        <v>0</v>
      </c>
    </row>
    <row r="89" spans="1:17" s="183" customFormat="1" ht="14.25" customHeight="1">
      <c r="A89" s="25"/>
      <c r="B89" s="15" t="s">
        <v>265</v>
      </c>
      <c r="C89" s="301" t="s">
        <v>182</v>
      </c>
      <c r="D89" s="8">
        <v>90000</v>
      </c>
      <c r="E89" s="17">
        <v>90000</v>
      </c>
      <c r="F89" s="17">
        <v>0</v>
      </c>
      <c r="G89" s="17">
        <v>0</v>
      </c>
      <c r="H89" s="17">
        <v>51600</v>
      </c>
      <c r="I89" s="17">
        <v>0</v>
      </c>
      <c r="J89" s="17">
        <v>0</v>
      </c>
      <c r="K89" s="8">
        <v>70400</v>
      </c>
      <c r="L89" s="8"/>
      <c r="M89" s="17"/>
      <c r="N89" s="8">
        <f t="shared" si="20"/>
        <v>70400</v>
      </c>
      <c r="O89" s="17">
        <f aca="true" t="shared" si="21" ref="O89:O97">N89</f>
        <v>70400</v>
      </c>
      <c r="P89" s="21">
        <v>0</v>
      </c>
      <c r="Q89" s="21">
        <v>0</v>
      </c>
    </row>
    <row r="90" spans="1:17" s="183" customFormat="1" ht="15.75" customHeight="1">
      <c r="A90" s="25"/>
      <c r="B90" s="15" t="s">
        <v>269</v>
      </c>
      <c r="C90" s="301" t="s">
        <v>270</v>
      </c>
      <c r="D90" s="8">
        <v>6390</v>
      </c>
      <c r="E90" s="17">
        <v>6390</v>
      </c>
      <c r="F90" s="17">
        <v>0</v>
      </c>
      <c r="G90" s="17">
        <v>0</v>
      </c>
      <c r="H90" s="17">
        <v>3825</v>
      </c>
      <c r="I90" s="17">
        <v>0</v>
      </c>
      <c r="J90" s="17">
        <v>0</v>
      </c>
      <c r="K90" s="8">
        <v>4712</v>
      </c>
      <c r="L90" s="8"/>
      <c r="M90" s="17"/>
      <c r="N90" s="8">
        <f t="shared" si="20"/>
        <v>4712</v>
      </c>
      <c r="O90" s="17">
        <f t="shared" si="21"/>
        <v>4712</v>
      </c>
      <c r="P90" s="21">
        <v>0</v>
      </c>
      <c r="Q90" s="21">
        <v>0</v>
      </c>
    </row>
    <row r="91" spans="1:17" s="183" customFormat="1" ht="16.5" customHeight="1">
      <c r="A91" s="25"/>
      <c r="B91" s="22" t="s">
        <v>328</v>
      </c>
      <c r="C91" s="301" t="s">
        <v>333</v>
      </c>
      <c r="D91" s="8">
        <v>19597</v>
      </c>
      <c r="E91" s="17">
        <v>17235</v>
      </c>
      <c r="F91" s="17">
        <v>0</v>
      </c>
      <c r="G91" s="17">
        <v>0</v>
      </c>
      <c r="H91" s="17">
        <v>9550</v>
      </c>
      <c r="I91" s="17">
        <v>0</v>
      </c>
      <c r="J91" s="17">
        <v>0</v>
      </c>
      <c r="K91" s="8">
        <v>12942</v>
      </c>
      <c r="L91" s="8"/>
      <c r="M91" s="17"/>
      <c r="N91" s="8">
        <f t="shared" si="20"/>
        <v>12942</v>
      </c>
      <c r="O91" s="17">
        <f t="shared" si="21"/>
        <v>12942</v>
      </c>
      <c r="P91" s="21">
        <v>0</v>
      </c>
      <c r="Q91" s="21">
        <v>0</v>
      </c>
    </row>
    <row r="92" spans="1:17" s="183" customFormat="1" ht="15" customHeight="1">
      <c r="A92" s="25"/>
      <c r="B92" s="22" t="s">
        <v>273</v>
      </c>
      <c r="C92" s="301" t="s">
        <v>274</v>
      </c>
      <c r="D92" s="8"/>
      <c r="E92" s="17">
        <v>2362</v>
      </c>
      <c r="F92" s="17">
        <v>0</v>
      </c>
      <c r="G92" s="17">
        <v>0</v>
      </c>
      <c r="H92" s="17">
        <v>1358</v>
      </c>
      <c r="I92" s="17">
        <v>0</v>
      </c>
      <c r="J92" s="17">
        <v>0</v>
      </c>
      <c r="K92" s="8">
        <v>1840</v>
      </c>
      <c r="L92" s="8"/>
      <c r="M92" s="17"/>
      <c r="N92" s="8">
        <f t="shared" si="20"/>
        <v>1840</v>
      </c>
      <c r="O92" s="17">
        <f t="shared" si="21"/>
        <v>1840</v>
      </c>
      <c r="P92" s="21">
        <v>0</v>
      </c>
      <c r="Q92" s="21">
        <v>0</v>
      </c>
    </row>
    <row r="93" spans="1:17" s="183" customFormat="1" ht="15" customHeight="1">
      <c r="A93" s="25"/>
      <c r="B93" s="15" t="s">
        <v>97</v>
      </c>
      <c r="C93" s="301" t="s">
        <v>111</v>
      </c>
      <c r="D93" s="8"/>
      <c r="E93" s="17"/>
      <c r="F93" s="17"/>
      <c r="G93" s="17"/>
      <c r="H93" s="17"/>
      <c r="I93" s="17"/>
      <c r="J93" s="17"/>
      <c r="K93" s="8">
        <v>7160</v>
      </c>
      <c r="L93" s="8"/>
      <c r="M93" s="17"/>
      <c r="N93" s="8">
        <f t="shared" si="20"/>
        <v>7160</v>
      </c>
      <c r="O93" s="17">
        <f t="shared" si="21"/>
        <v>7160</v>
      </c>
      <c r="P93" s="21">
        <v>0</v>
      </c>
      <c r="Q93" s="21">
        <v>0</v>
      </c>
    </row>
    <row r="94" spans="1:17" s="183" customFormat="1" ht="15" customHeight="1">
      <c r="A94" s="25"/>
      <c r="B94" s="15" t="s">
        <v>275</v>
      </c>
      <c r="C94" s="301" t="s">
        <v>276</v>
      </c>
      <c r="D94" s="8"/>
      <c r="E94" s="17">
        <v>3103</v>
      </c>
      <c r="F94" s="17">
        <v>0</v>
      </c>
      <c r="G94" s="17">
        <v>0</v>
      </c>
      <c r="H94" s="17">
        <v>1691</v>
      </c>
      <c r="I94" s="17">
        <v>0</v>
      </c>
      <c r="J94" s="17">
        <v>0</v>
      </c>
      <c r="K94" s="8">
        <v>1060</v>
      </c>
      <c r="L94" s="8"/>
      <c r="M94" s="17"/>
      <c r="N94" s="8">
        <f t="shared" si="20"/>
        <v>1060</v>
      </c>
      <c r="O94" s="17">
        <f t="shared" si="21"/>
        <v>1060</v>
      </c>
      <c r="P94" s="21">
        <v>0</v>
      </c>
      <c r="Q94" s="21">
        <v>0</v>
      </c>
    </row>
    <row r="95" spans="1:17" s="183" customFormat="1" ht="14.25" customHeight="1">
      <c r="A95" s="25"/>
      <c r="B95" s="15" t="s">
        <v>281</v>
      </c>
      <c r="C95" s="301" t="s">
        <v>399</v>
      </c>
      <c r="D95" s="8"/>
      <c r="E95" s="17"/>
      <c r="F95" s="17"/>
      <c r="G95" s="17"/>
      <c r="H95" s="17">
        <v>17600</v>
      </c>
      <c r="I95" s="17">
        <v>0</v>
      </c>
      <c r="J95" s="17">
        <v>0</v>
      </c>
      <c r="K95" s="8">
        <v>1400</v>
      </c>
      <c r="L95" s="8"/>
      <c r="M95" s="17"/>
      <c r="N95" s="8">
        <f t="shared" si="20"/>
        <v>1400</v>
      </c>
      <c r="O95" s="17">
        <f t="shared" si="21"/>
        <v>1400</v>
      </c>
      <c r="P95" s="21">
        <v>0</v>
      </c>
      <c r="Q95" s="21">
        <v>0</v>
      </c>
    </row>
    <row r="96" spans="1:17" s="183" customFormat="1" ht="15" customHeight="1">
      <c r="A96" s="25"/>
      <c r="B96" s="15" t="s">
        <v>283</v>
      </c>
      <c r="C96" s="301" t="s">
        <v>284</v>
      </c>
      <c r="D96" s="8"/>
      <c r="E96" s="17"/>
      <c r="F96" s="17"/>
      <c r="G96" s="17"/>
      <c r="H96" s="17">
        <v>2225</v>
      </c>
      <c r="I96" s="17">
        <v>0</v>
      </c>
      <c r="J96" s="17">
        <v>0</v>
      </c>
      <c r="K96" s="8">
        <v>600</v>
      </c>
      <c r="L96" s="8"/>
      <c r="M96" s="17"/>
      <c r="N96" s="8">
        <f t="shared" si="20"/>
        <v>600</v>
      </c>
      <c r="O96" s="17">
        <f t="shared" si="21"/>
        <v>600</v>
      </c>
      <c r="P96" s="21">
        <v>0</v>
      </c>
      <c r="Q96" s="21">
        <v>0</v>
      </c>
    </row>
    <row r="97" spans="1:17" s="183" customFormat="1" ht="15" customHeight="1">
      <c r="A97" s="25"/>
      <c r="B97" s="15" t="s">
        <v>287</v>
      </c>
      <c r="C97" s="301" t="s">
        <v>288</v>
      </c>
      <c r="D97" s="8"/>
      <c r="E97" s="17"/>
      <c r="F97" s="17"/>
      <c r="G97" s="17"/>
      <c r="H97" s="90">
        <v>1250</v>
      </c>
      <c r="I97" s="90">
        <v>0</v>
      </c>
      <c r="J97" s="90">
        <v>0</v>
      </c>
      <c r="K97" s="8">
        <v>2634</v>
      </c>
      <c r="L97" s="65"/>
      <c r="M97" s="90"/>
      <c r="N97" s="8">
        <f t="shared" si="20"/>
        <v>2634</v>
      </c>
      <c r="O97" s="17">
        <f t="shared" si="21"/>
        <v>2634</v>
      </c>
      <c r="P97" s="21">
        <v>0</v>
      </c>
      <c r="Q97" s="21">
        <v>0</v>
      </c>
    </row>
    <row r="98" spans="1:17" s="182" customFormat="1" ht="17.25" customHeight="1">
      <c r="A98" s="196" t="s">
        <v>691</v>
      </c>
      <c r="B98" s="207"/>
      <c r="C98" s="197" t="s">
        <v>178</v>
      </c>
      <c r="D98" s="169"/>
      <c r="E98" s="169"/>
      <c r="F98" s="169"/>
      <c r="G98" s="169"/>
      <c r="H98" s="169"/>
      <c r="I98" s="169"/>
      <c r="J98" s="169"/>
      <c r="K98" s="169">
        <f>K99</f>
        <v>3380</v>
      </c>
      <c r="L98" s="169">
        <f>L99</f>
        <v>0</v>
      </c>
      <c r="M98" s="169">
        <f>M99</f>
        <v>0</v>
      </c>
      <c r="N98" s="169">
        <f t="shared" si="20"/>
        <v>3380</v>
      </c>
      <c r="O98" s="169">
        <f>O99</f>
        <v>0</v>
      </c>
      <c r="P98" s="167">
        <f>P99</f>
        <v>0</v>
      </c>
      <c r="Q98" s="167">
        <f>Q99</f>
        <v>3380</v>
      </c>
    </row>
    <row r="99" spans="1:17" s="183" customFormat="1" ht="21.75" customHeight="1">
      <c r="A99" s="25"/>
      <c r="B99" s="15" t="s">
        <v>692</v>
      </c>
      <c r="C99" s="129" t="s">
        <v>693</v>
      </c>
      <c r="D99" s="8"/>
      <c r="E99" s="17"/>
      <c r="F99" s="17"/>
      <c r="G99" s="17"/>
      <c r="H99" s="17"/>
      <c r="I99" s="17"/>
      <c r="J99" s="17"/>
      <c r="K99" s="8">
        <v>3380</v>
      </c>
      <c r="L99" s="8"/>
      <c r="M99" s="17"/>
      <c r="N99" s="8">
        <f t="shared" si="20"/>
        <v>3380</v>
      </c>
      <c r="O99" s="17">
        <v>0</v>
      </c>
      <c r="P99" s="21">
        <v>0</v>
      </c>
      <c r="Q99" s="21">
        <f>N99</f>
        <v>3380</v>
      </c>
    </row>
    <row r="100" spans="1:17" s="182" customFormat="1" ht="16.5" customHeight="1">
      <c r="A100" s="196" t="s">
        <v>335</v>
      </c>
      <c r="B100" s="207"/>
      <c r="C100" s="197" t="s">
        <v>336</v>
      </c>
      <c r="D100" s="169">
        <f>D101</f>
        <v>134900</v>
      </c>
      <c r="E100" s="169" t="e">
        <f>E101+#REF!+#REF!+#REF!</f>
        <v>#REF!</v>
      </c>
      <c r="F100" s="169" t="e">
        <f>F101+#REF!+#REF!+#REF!</f>
        <v>#REF!</v>
      </c>
      <c r="G100" s="169" t="e">
        <f>G101+#REF!+#REF!+#REF!</f>
        <v>#REF!</v>
      </c>
      <c r="H100" s="169">
        <f>H101+H102+H104</f>
        <v>86060</v>
      </c>
      <c r="I100" s="169">
        <f>I101+I102+I104</f>
        <v>0</v>
      </c>
      <c r="J100" s="169">
        <f>J101+J102+J104</f>
        <v>0</v>
      </c>
      <c r="K100" s="169">
        <f>SUM(K101:K106)</f>
        <v>82800</v>
      </c>
      <c r="L100" s="169">
        <f>SUM(L101:L106)</f>
        <v>4000</v>
      </c>
      <c r="M100" s="169">
        <f>SUM(M101:M106)</f>
        <v>4000</v>
      </c>
      <c r="N100" s="169">
        <f t="shared" si="20"/>
        <v>82800</v>
      </c>
      <c r="O100" s="169">
        <f>SUM(O101:O106)</f>
        <v>0</v>
      </c>
      <c r="P100" s="169">
        <f>SUM(P101:P106)</f>
        <v>82800</v>
      </c>
      <c r="Q100" s="169">
        <f>SUM(Q101:Q106)</f>
        <v>0</v>
      </c>
    </row>
    <row r="101" spans="1:17" s="183" customFormat="1" ht="12.75" customHeight="1">
      <c r="A101" s="25"/>
      <c r="B101" s="15" t="s">
        <v>263</v>
      </c>
      <c r="C101" s="301" t="s">
        <v>337</v>
      </c>
      <c r="D101" s="8">
        <v>134900</v>
      </c>
      <c r="E101" s="17">
        <v>191600</v>
      </c>
      <c r="F101" s="17">
        <v>0</v>
      </c>
      <c r="G101" s="17">
        <v>0</v>
      </c>
      <c r="H101" s="17">
        <v>74690</v>
      </c>
      <c r="I101" s="17">
        <v>0</v>
      </c>
      <c r="J101" s="17">
        <v>0</v>
      </c>
      <c r="K101" s="8">
        <v>60000</v>
      </c>
      <c r="L101" s="8"/>
      <c r="M101" s="17"/>
      <c r="N101" s="8">
        <f t="shared" si="20"/>
        <v>60000</v>
      </c>
      <c r="O101" s="17">
        <v>0</v>
      </c>
      <c r="P101" s="21">
        <f aca="true" t="shared" si="22" ref="P101:P106">N101</f>
        <v>60000</v>
      </c>
      <c r="Q101" s="21">
        <v>0</v>
      </c>
    </row>
    <row r="102" spans="1:17" s="183" customFormat="1" ht="12.75" customHeight="1">
      <c r="A102" s="25"/>
      <c r="B102" s="15" t="s">
        <v>275</v>
      </c>
      <c r="C102" s="301" t="s">
        <v>276</v>
      </c>
      <c r="D102" s="8"/>
      <c r="E102" s="17"/>
      <c r="F102" s="17"/>
      <c r="G102" s="17"/>
      <c r="H102" s="17">
        <v>3670</v>
      </c>
      <c r="I102" s="17">
        <v>0</v>
      </c>
      <c r="J102" s="17">
        <v>0</v>
      </c>
      <c r="K102" s="8">
        <v>12100</v>
      </c>
      <c r="L102" s="8"/>
      <c r="M102" s="17">
        <v>2000</v>
      </c>
      <c r="N102" s="8">
        <f t="shared" si="20"/>
        <v>10100</v>
      </c>
      <c r="O102" s="17">
        <v>0</v>
      </c>
      <c r="P102" s="21">
        <f t="shared" si="22"/>
        <v>10100</v>
      </c>
      <c r="Q102" s="21">
        <v>0</v>
      </c>
    </row>
    <row r="103" spans="1:17" s="183" customFormat="1" ht="12.75" customHeight="1">
      <c r="A103" s="25"/>
      <c r="B103" s="15" t="s">
        <v>277</v>
      </c>
      <c r="C103" s="301" t="s">
        <v>397</v>
      </c>
      <c r="D103" s="8"/>
      <c r="E103" s="17"/>
      <c r="F103" s="17"/>
      <c r="G103" s="17"/>
      <c r="H103" s="17"/>
      <c r="I103" s="17"/>
      <c r="J103" s="17"/>
      <c r="K103" s="8">
        <v>1800</v>
      </c>
      <c r="L103" s="8">
        <v>4000</v>
      </c>
      <c r="M103" s="17">
        <v>0</v>
      </c>
      <c r="N103" s="8">
        <f t="shared" si="20"/>
        <v>5800</v>
      </c>
      <c r="O103" s="17">
        <v>0</v>
      </c>
      <c r="P103" s="21">
        <f t="shared" si="22"/>
        <v>5800</v>
      </c>
      <c r="Q103" s="21">
        <v>0</v>
      </c>
    </row>
    <row r="104" spans="1:17" s="183" customFormat="1" ht="12.75" customHeight="1">
      <c r="A104" s="25"/>
      <c r="B104" s="15" t="s">
        <v>281</v>
      </c>
      <c r="C104" s="301" t="s">
        <v>399</v>
      </c>
      <c r="D104" s="8"/>
      <c r="E104" s="17"/>
      <c r="F104" s="17"/>
      <c r="G104" s="17"/>
      <c r="H104" s="17">
        <v>7700</v>
      </c>
      <c r="I104" s="17">
        <v>0</v>
      </c>
      <c r="J104" s="17">
        <v>0</v>
      </c>
      <c r="K104" s="8">
        <v>7400</v>
      </c>
      <c r="L104" s="8"/>
      <c r="M104" s="17">
        <v>2000</v>
      </c>
      <c r="N104" s="8">
        <f t="shared" si="20"/>
        <v>5400</v>
      </c>
      <c r="O104" s="17">
        <v>0</v>
      </c>
      <c r="P104" s="21">
        <f t="shared" si="22"/>
        <v>5400</v>
      </c>
      <c r="Q104" s="21">
        <v>0</v>
      </c>
    </row>
    <row r="105" spans="1:17" s="183" customFormat="1" ht="12.75" customHeight="1">
      <c r="A105" s="25"/>
      <c r="B105" s="15" t="s">
        <v>283</v>
      </c>
      <c r="C105" s="301" t="s">
        <v>284</v>
      </c>
      <c r="D105" s="8"/>
      <c r="E105" s="17"/>
      <c r="F105" s="17"/>
      <c r="G105" s="17"/>
      <c r="H105" s="17"/>
      <c r="I105" s="17"/>
      <c r="J105" s="17"/>
      <c r="K105" s="8">
        <v>500</v>
      </c>
      <c r="L105" s="8"/>
      <c r="M105" s="17"/>
      <c r="N105" s="8">
        <f t="shared" si="20"/>
        <v>500</v>
      </c>
      <c r="O105" s="17">
        <v>0</v>
      </c>
      <c r="P105" s="21">
        <f t="shared" si="22"/>
        <v>500</v>
      </c>
      <c r="Q105" s="21">
        <v>0</v>
      </c>
    </row>
    <row r="106" spans="1:17" s="183" customFormat="1" ht="12.75" customHeight="1">
      <c r="A106" s="25"/>
      <c r="B106" s="15" t="s">
        <v>215</v>
      </c>
      <c r="C106" s="301" t="s">
        <v>216</v>
      </c>
      <c r="D106" s="8"/>
      <c r="E106" s="17"/>
      <c r="F106" s="17"/>
      <c r="G106" s="17"/>
      <c r="H106" s="17"/>
      <c r="I106" s="17"/>
      <c r="J106" s="17"/>
      <c r="K106" s="8">
        <v>1000</v>
      </c>
      <c r="L106" s="8"/>
      <c r="M106" s="17"/>
      <c r="N106" s="8">
        <f t="shared" si="20"/>
        <v>1000</v>
      </c>
      <c r="O106" s="17">
        <v>0</v>
      </c>
      <c r="P106" s="21">
        <f t="shared" si="22"/>
        <v>1000</v>
      </c>
      <c r="Q106" s="21">
        <v>0</v>
      </c>
    </row>
    <row r="107" spans="1:17" s="182" customFormat="1" ht="15.75" customHeight="1">
      <c r="A107" s="196" t="s">
        <v>338</v>
      </c>
      <c r="B107" s="207"/>
      <c r="C107" s="197" t="s">
        <v>339</v>
      </c>
      <c r="D107" s="169" t="e">
        <f>D109+D110+D111+#REF!+D123+#REF!</f>
        <v>#REF!</v>
      </c>
      <c r="E107" s="169" t="e">
        <f>E109+E110+E111+E113+#REF!+#REF!+E114+E115+#REF!+E117+E119+E121+E122+E123+#REF!+#REF!</f>
        <v>#REF!</v>
      </c>
      <c r="F107" s="169" t="e">
        <f>F109+F110+F111+F113+#REF!+#REF!+F114+F115+#REF!+F117+F119+F121+F122+F123+#REF!+#REF!</f>
        <v>#REF!</v>
      </c>
      <c r="G107" s="169" t="e">
        <f>G109+G110+G111+G113+#REF!+#REF!+G114+G115+#REF!+G117+G119+G121+G122+G123+#REF!+#REF!</f>
        <v>#REF!</v>
      </c>
      <c r="H107" s="169" t="e">
        <f>H109+H110+H111+H113+H108+#REF!+H114+H115+#REF!+H117+H119+H121+H122+#REF!+H123+H124+#REF!+H120</f>
        <v>#REF!</v>
      </c>
      <c r="I107" s="169" t="e">
        <f>I109+I110+I111+I113+I108+#REF!+I114+I115+#REF!+I117+I119+I121+I122+#REF!+I123+I124+#REF!+I120</f>
        <v>#REF!</v>
      </c>
      <c r="J107" s="169" t="e">
        <f>J109+J110+J111+J113+J108+#REF!+J114+J115+#REF!+J117+J119+J121+J122+#REF!+J123+J124+#REF!+J120</f>
        <v>#REF!</v>
      </c>
      <c r="K107" s="169">
        <f>SUM(K108:K127)</f>
        <v>2256283</v>
      </c>
      <c r="L107" s="169">
        <f>SUM(L108:L127)</f>
        <v>74800</v>
      </c>
      <c r="M107" s="169">
        <f>SUM(M108:M127)</f>
        <v>0</v>
      </c>
      <c r="N107" s="169">
        <f t="shared" si="20"/>
        <v>2331083</v>
      </c>
      <c r="O107" s="169">
        <f>SUM(O108:O127)</f>
        <v>0</v>
      </c>
      <c r="P107" s="169">
        <f>SUM(P108:P127)</f>
        <v>2279083</v>
      </c>
      <c r="Q107" s="169">
        <f>SUM(Q108:Q127)</f>
        <v>52000</v>
      </c>
    </row>
    <row r="108" spans="1:17" s="183" customFormat="1" ht="16.5" customHeight="1">
      <c r="A108" s="27"/>
      <c r="B108" s="28" t="s">
        <v>248</v>
      </c>
      <c r="C108" s="301" t="s">
        <v>146</v>
      </c>
      <c r="D108" s="8"/>
      <c r="E108" s="17"/>
      <c r="F108" s="17"/>
      <c r="G108" s="17"/>
      <c r="H108" s="17">
        <v>216</v>
      </c>
      <c r="I108" s="17">
        <v>0</v>
      </c>
      <c r="J108" s="17">
        <v>0</v>
      </c>
      <c r="K108" s="8">
        <v>300</v>
      </c>
      <c r="L108" s="8"/>
      <c r="M108" s="17"/>
      <c r="N108" s="8">
        <f t="shared" si="20"/>
        <v>300</v>
      </c>
      <c r="O108" s="17">
        <v>0</v>
      </c>
      <c r="P108" s="21">
        <f>N108</f>
        <v>300</v>
      </c>
      <c r="Q108" s="21">
        <v>0</v>
      </c>
    </row>
    <row r="109" spans="1:17" s="183" customFormat="1" ht="15.75" customHeight="1">
      <c r="A109" s="27"/>
      <c r="B109" s="28" t="s">
        <v>265</v>
      </c>
      <c r="C109" s="301" t="s">
        <v>182</v>
      </c>
      <c r="D109" s="8">
        <v>1172382</v>
      </c>
      <c r="E109" s="17">
        <v>1396150</v>
      </c>
      <c r="F109" s="17">
        <v>0</v>
      </c>
      <c r="G109" s="17">
        <v>0</v>
      </c>
      <c r="H109" s="17">
        <v>1069576</v>
      </c>
      <c r="I109" s="17">
        <v>0</v>
      </c>
      <c r="J109" s="17">
        <v>0</v>
      </c>
      <c r="K109" s="8">
        <v>1399907</v>
      </c>
      <c r="L109" s="8">
        <v>0</v>
      </c>
      <c r="M109" s="17"/>
      <c r="N109" s="8">
        <f t="shared" si="20"/>
        <v>1399907</v>
      </c>
      <c r="O109" s="17">
        <v>0</v>
      </c>
      <c r="P109" s="21">
        <f aca="true" t="shared" si="23" ref="P109:P127">N109</f>
        <v>1399907</v>
      </c>
      <c r="Q109" s="21">
        <v>0</v>
      </c>
    </row>
    <row r="110" spans="1:17" s="183" customFormat="1" ht="16.5" customHeight="1">
      <c r="A110" s="27"/>
      <c r="B110" s="28" t="s">
        <v>269</v>
      </c>
      <c r="C110" s="301" t="s">
        <v>270</v>
      </c>
      <c r="D110" s="8">
        <v>77447</v>
      </c>
      <c r="E110" s="17">
        <v>95133</v>
      </c>
      <c r="F110" s="17">
        <v>0</v>
      </c>
      <c r="G110" s="17">
        <v>0</v>
      </c>
      <c r="H110" s="17">
        <v>81433</v>
      </c>
      <c r="I110" s="17">
        <v>0</v>
      </c>
      <c r="J110" s="17">
        <v>0</v>
      </c>
      <c r="K110" s="8">
        <v>71268</v>
      </c>
      <c r="L110" s="8"/>
      <c r="M110" s="17">
        <v>0</v>
      </c>
      <c r="N110" s="8">
        <f t="shared" si="20"/>
        <v>71268</v>
      </c>
      <c r="O110" s="17">
        <v>0</v>
      </c>
      <c r="P110" s="21">
        <f t="shared" si="23"/>
        <v>71268</v>
      </c>
      <c r="Q110" s="21">
        <v>0</v>
      </c>
    </row>
    <row r="111" spans="1:17" s="183" customFormat="1" ht="15" customHeight="1">
      <c r="A111" s="27"/>
      <c r="B111" s="29" t="s">
        <v>328</v>
      </c>
      <c r="C111" s="301" t="s">
        <v>299</v>
      </c>
      <c r="D111" s="8">
        <v>236159</v>
      </c>
      <c r="E111" s="17">
        <v>262390</v>
      </c>
      <c r="F111" s="17">
        <v>0</v>
      </c>
      <c r="G111" s="17">
        <v>0</v>
      </c>
      <c r="H111" s="17">
        <v>195558</v>
      </c>
      <c r="I111" s="17">
        <v>0</v>
      </c>
      <c r="J111" s="17">
        <v>0</v>
      </c>
      <c r="K111" s="8">
        <v>197576</v>
      </c>
      <c r="L111" s="8"/>
      <c r="M111" s="17"/>
      <c r="N111" s="8">
        <f t="shared" si="20"/>
        <v>197576</v>
      </c>
      <c r="O111" s="17">
        <v>0</v>
      </c>
      <c r="P111" s="21">
        <f t="shared" si="23"/>
        <v>197576</v>
      </c>
      <c r="Q111" s="21">
        <v>0</v>
      </c>
    </row>
    <row r="112" spans="1:17" s="183" customFormat="1" ht="15" customHeight="1">
      <c r="A112" s="27"/>
      <c r="B112" s="29" t="s">
        <v>273</v>
      </c>
      <c r="C112" s="301" t="s">
        <v>274</v>
      </c>
      <c r="D112" s="8"/>
      <c r="E112" s="17"/>
      <c r="F112" s="17"/>
      <c r="G112" s="17"/>
      <c r="H112" s="17"/>
      <c r="I112" s="17"/>
      <c r="J112" s="17"/>
      <c r="K112" s="8">
        <v>31817</v>
      </c>
      <c r="L112" s="8"/>
      <c r="M112" s="17"/>
      <c r="N112" s="8">
        <f t="shared" si="20"/>
        <v>31817</v>
      </c>
      <c r="O112" s="17">
        <v>0</v>
      </c>
      <c r="P112" s="21">
        <f t="shared" si="23"/>
        <v>31817</v>
      </c>
      <c r="Q112" s="21">
        <v>0</v>
      </c>
    </row>
    <row r="113" spans="1:17" s="183" customFormat="1" ht="13.5" customHeight="1">
      <c r="A113" s="27"/>
      <c r="B113" s="29" t="s">
        <v>97</v>
      </c>
      <c r="C113" s="301" t="s">
        <v>111</v>
      </c>
      <c r="D113" s="8"/>
      <c r="E113" s="17">
        <v>35746</v>
      </c>
      <c r="F113" s="17">
        <v>0</v>
      </c>
      <c r="G113" s="17">
        <v>0</v>
      </c>
      <c r="H113" s="17">
        <v>27881</v>
      </c>
      <c r="I113" s="17">
        <v>0</v>
      </c>
      <c r="J113" s="17">
        <v>0</v>
      </c>
      <c r="K113" s="8">
        <v>2000</v>
      </c>
      <c r="L113" s="8"/>
      <c r="M113" s="17"/>
      <c r="N113" s="8">
        <f t="shared" si="20"/>
        <v>2000</v>
      </c>
      <c r="O113" s="17">
        <v>0</v>
      </c>
      <c r="P113" s="21">
        <f t="shared" si="23"/>
        <v>2000</v>
      </c>
      <c r="Q113" s="21">
        <v>0</v>
      </c>
    </row>
    <row r="114" spans="1:17" s="183" customFormat="1" ht="15.75" customHeight="1">
      <c r="A114" s="27"/>
      <c r="B114" s="28" t="s">
        <v>275</v>
      </c>
      <c r="C114" s="301" t="s">
        <v>302</v>
      </c>
      <c r="D114" s="8"/>
      <c r="E114" s="17">
        <v>125516</v>
      </c>
      <c r="F114" s="17">
        <v>18656</v>
      </c>
      <c r="G114" s="17">
        <v>0</v>
      </c>
      <c r="H114" s="17">
        <v>70370</v>
      </c>
      <c r="I114" s="17">
        <v>0</v>
      </c>
      <c r="J114" s="17">
        <v>0</v>
      </c>
      <c r="K114" s="8">
        <v>58200</v>
      </c>
      <c r="L114" s="8">
        <v>10000</v>
      </c>
      <c r="M114" s="17"/>
      <c r="N114" s="8">
        <f t="shared" si="20"/>
        <v>68200</v>
      </c>
      <c r="O114" s="17">
        <v>0</v>
      </c>
      <c r="P114" s="21">
        <f t="shared" si="23"/>
        <v>68200</v>
      </c>
      <c r="Q114" s="21">
        <v>0</v>
      </c>
    </row>
    <row r="115" spans="1:17" s="183" customFormat="1" ht="15.75" customHeight="1">
      <c r="A115" s="27"/>
      <c r="B115" s="28" t="s">
        <v>277</v>
      </c>
      <c r="C115" s="301" t="s">
        <v>278</v>
      </c>
      <c r="D115" s="8"/>
      <c r="E115" s="17">
        <v>60600</v>
      </c>
      <c r="F115" s="17">
        <v>0</v>
      </c>
      <c r="G115" s="17">
        <v>0</v>
      </c>
      <c r="H115" s="17">
        <v>70000</v>
      </c>
      <c r="I115" s="17">
        <v>0</v>
      </c>
      <c r="J115" s="17">
        <v>0</v>
      </c>
      <c r="K115" s="8">
        <v>45200</v>
      </c>
      <c r="L115" s="8">
        <v>24800</v>
      </c>
      <c r="M115" s="17"/>
      <c r="N115" s="8">
        <f t="shared" si="20"/>
        <v>70000</v>
      </c>
      <c r="O115" s="17">
        <v>0</v>
      </c>
      <c r="P115" s="21">
        <f t="shared" si="23"/>
        <v>70000</v>
      </c>
      <c r="Q115" s="21">
        <v>0</v>
      </c>
    </row>
    <row r="116" spans="1:17" s="183" customFormat="1" ht="15.75" customHeight="1">
      <c r="A116" s="27"/>
      <c r="B116" s="28" t="s">
        <v>279</v>
      </c>
      <c r="C116" s="301" t="s">
        <v>398</v>
      </c>
      <c r="D116" s="8"/>
      <c r="E116" s="17"/>
      <c r="F116" s="17"/>
      <c r="G116" s="17"/>
      <c r="H116" s="17"/>
      <c r="I116" s="17"/>
      <c r="J116" s="17"/>
      <c r="K116" s="8">
        <v>0</v>
      </c>
      <c r="L116" s="8"/>
      <c r="M116" s="17"/>
      <c r="N116" s="8">
        <f t="shared" si="20"/>
        <v>0</v>
      </c>
      <c r="O116" s="17">
        <v>0</v>
      </c>
      <c r="P116" s="21">
        <f t="shared" si="23"/>
        <v>0</v>
      </c>
      <c r="Q116" s="21">
        <v>0</v>
      </c>
    </row>
    <row r="117" spans="1:17" s="183" customFormat="1" ht="13.5" customHeight="1">
      <c r="A117" s="27"/>
      <c r="B117" s="28" t="s">
        <v>281</v>
      </c>
      <c r="C117" s="301" t="s">
        <v>282</v>
      </c>
      <c r="D117" s="8"/>
      <c r="E117" s="17">
        <v>427481</v>
      </c>
      <c r="F117" s="17">
        <v>18859</v>
      </c>
      <c r="G117" s="17">
        <v>0</v>
      </c>
      <c r="H117" s="17">
        <v>385087</v>
      </c>
      <c r="I117" s="17">
        <v>0</v>
      </c>
      <c r="J117" s="17">
        <v>0</v>
      </c>
      <c r="K117" s="8">
        <v>348335</v>
      </c>
      <c r="L117" s="8">
        <v>40000</v>
      </c>
      <c r="M117" s="17"/>
      <c r="N117" s="8">
        <f t="shared" si="20"/>
        <v>388335</v>
      </c>
      <c r="O117" s="17">
        <v>0</v>
      </c>
      <c r="P117" s="21">
        <f t="shared" si="23"/>
        <v>388335</v>
      </c>
      <c r="Q117" s="21">
        <v>0</v>
      </c>
    </row>
    <row r="118" spans="1:17" s="183" customFormat="1" ht="13.5" customHeight="1">
      <c r="A118" s="27"/>
      <c r="B118" s="28" t="s">
        <v>112</v>
      </c>
      <c r="C118" s="301" t="s">
        <v>681</v>
      </c>
      <c r="D118" s="8"/>
      <c r="E118" s="17"/>
      <c r="F118" s="17"/>
      <c r="G118" s="17"/>
      <c r="H118" s="17"/>
      <c r="I118" s="17"/>
      <c r="J118" s="17"/>
      <c r="K118" s="8">
        <v>3600</v>
      </c>
      <c r="L118" s="8"/>
      <c r="M118" s="17"/>
      <c r="N118" s="8">
        <f t="shared" si="20"/>
        <v>3600</v>
      </c>
      <c r="O118" s="17">
        <v>0</v>
      </c>
      <c r="P118" s="21">
        <f t="shared" si="23"/>
        <v>3600</v>
      </c>
      <c r="Q118" s="21">
        <v>0</v>
      </c>
    </row>
    <row r="119" spans="1:17" s="183" customFormat="1" ht="14.25" customHeight="1">
      <c r="A119" s="27"/>
      <c r="B119" s="28" t="s">
        <v>283</v>
      </c>
      <c r="C119" s="301" t="s">
        <v>284</v>
      </c>
      <c r="D119" s="8"/>
      <c r="E119" s="17">
        <v>10250</v>
      </c>
      <c r="F119" s="17">
        <v>761</v>
      </c>
      <c r="G119" s="17">
        <v>0</v>
      </c>
      <c r="H119" s="17">
        <v>7000</v>
      </c>
      <c r="I119" s="17">
        <v>0</v>
      </c>
      <c r="J119" s="17">
        <v>0</v>
      </c>
      <c r="K119" s="8">
        <v>8850</v>
      </c>
      <c r="L119" s="8"/>
      <c r="M119" s="17"/>
      <c r="N119" s="8">
        <f t="shared" si="20"/>
        <v>8850</v>
      </c>
      <c r="O119" s="17">
        <v>0</v>
      </c>
      <c r="P119" s="21">
        <f t="shared" si="23"/>
        <v>8850</v>
      </c>
      <c r="Q119" s="21">
        <v>0</v>
      </c>
    </row>
    <row r="120" spans="1:17" s="183" customFormat="1" ht="14.25" customHeight="1">
      <c r="A120" s="27"/>
      <c r="B120" s="28" t="s">
        <v>215</v>
      </c>
      <c r="C120" s="301" t="s">
        <v>216</v>
      </c>
      <c r="D120" s="8"/>
      <c r="E120" s="17"/>
      <c r="F120" s="17"/>
      <c r="G120" s="17"/>
      <c r="H120" s="17">
        <v>1000</v>
      </c>
      <c r="I120" s="17">
        <v>0</v>
      </c>
      <c r="J120" s="17">
        <v>0</v>
      </c>
      <c r="K120" s="8">
        <v>2000</v>
      </c>
      <c r="L120" s="8"/>
      <c r="M120" s="17"/>
      <c r="N120" s="8">
        <f t="shared" si="20"/>
        <v>2000</v>
      </c>
      <c r="O120" s="17">
        <v>0</v>
      </c>
      <c r="P120" s="21">
        <f t="shared" si="23"/>
        <v>2000</v>
      </c>
      <c r="Q120" s="21">
        <v>0</v>
      </c>
    </row>
    <row r="121" spans="1:17" s="183" customFormat="1" ht="15.75" customHeight="1">
      <c r="A121" s="27"/>
      <c r="B121" s="28" t="s">
        <v>285</v>
      </c>
      <c r="C121" s="301" t="s">
        <v>286</v>
      </c>
      <c r="D121" s="8"/>
      <c r="E121" s="17">
        <v>14454</v>
      </c>
      <c r="F121" s="17">
        <v>0</v>
      </c>
      <c r="G121" s="17">
        <v>761</v>
      </c>
      <c r="H121" s="17">
        <v>11800</v>
      </c>
      <c r="I121" s="17">
        <v>0</v>
      </c>
      <c r="J121" s="17">
        <v>0</v>
      </c>
      <c r="K121" s="8">
        <v>617</v>
      </c>
      <c r="L121" s="8"/>
      <c r="M121" s="17"/>
      <c r="N121" s="8">
        <f t="shared" si="20"/>
        <v>617</v>
      </c>
      <c r="O121" s="17">
        <v>0</v>
      </c>
      <c r="P121" s="21">
        <f t="shared" si="23"/>
        <v>617</v>
      </c>
      <c r="Q121" s="21">
        <v>0</v>
      </c>
    </row>
    <row r="122" spans="1:17" s="183" customFormat="1" ht="16.5" customHeight="1">
      <c r="A122" s="27"/>
      <c r="B122" s="28" t="s">
        <v>287</v>
      </c>
      <c r="C122" s="301" t="s">
        <v>288</v>
      </c>
      <c r="D122" s="8"/>
      <c r="E122" s="17">
        <v>40505</v>
      </c>
      <c r="F122" s="17">
        <v>0</v>
      </c>
      <c r="G122" s="17">
        <v>0</v>
      </c>
      <c r="H122" s="17">
        <v>29427</v>
      </c>
      <c r="I122" s="17">
        <v>0</v>
      </c>
      <c r="J122" s="17">
        <v>0</v>
      </c>
      <c r="K122" s="8">
        <v>32429</v>
      </c>
      <c r="L122" s="8">
        <v>0</v>
      </c>
      <c r="M122" s="17"/>
      <c r="N122" s="8">
        <f t="shared" si="20"/>
        <v>32429</v>
      </c>
      <c r="O122" s="17">
        <v>0</v>
      </c>
      <c r="P122" s="21">
        <f t="shared" si="23"/>
        <v>32429</v>
      </c>
      <c r="Q122" s="21">
        <v>0</v>
      </c>
    </row>
    <row r="123" spans="1:17" s="183" customFormat="1" ht="15.75" customHeight="1">
      <c r="A123" s="14"/>
      <c r="B123" s="29" t="s">
        <v>303</v>
      </c>
      <c r="C123" s="301" t="s">
        <v>304</v>
      </c>
      <c r="D123" s="8">
        <v>41000</v>
      </c>
      <c r="E123" s="17">
        <v>17600</v>
      </c>
      <c r="F123" s="17">
        <v>0</v>
      </c>
      <c r="G123" s="17">
        <v>0</v>
      </c>
      <c r="H123" s="17">
        <v>153</v>
      </c>
      <c r="I123" s="17">
        <v>0</v>
      </c>
      <c r="J123" s="17">
        <v>0</v>
      </c>
      <c r="K123" s="8">
        <v>184</v>
      </c>
      <c r="L123" s="8"/>
      <c r="M123" s="17">
        <v>0</v>
      </c>
      <c r="N123" s="8">
        <f t="shared" si="20"/>
        <v>184</v>
      </c>
      <c r="O123" s="17">
        <v>0</v>
      </c>
      <c r="P123" s="21">
        <f t="shared" si="23"/>
        <v>184</v>
      </c>
      <c r="Q123" s="21">
        <v>0</v>
      </c>
    </row>
    <row r="124" spans="1:17" s="183" customFormat="1" ht="13.5" customHeight="1">
      <c r="A124" s="14"/>
      <c r="B124" s="29" t="s">
        <v>130</v>
      </c>
      <c r="C124" s="301" t="s">
        <v>695</v>
      </c>
      <c r="D124" s="8"/>
      <c r="E124" s="17"/>
      <c r="F124" s="17"/>
      <c r="G124" s="17"/>
      <c r="H124" s="17">
        <v>500</v>
      </c>
      <c r="I124" s="17">
        <v>0</v>
      </c>
      <c r="J124" s="17">
        <v>0</v>
      </c>
      <c r="K124" s="8">
        <v>2000</v>
      </c>
      <c r="L124" s="8"/>
      <c r="M124" s="17"/>
      <c r="N124" s="8">
        <f t="shared" si="20"/>
        <v>2000</v>
      </c>
      <c r="O124" s="17">
        <v>0</v>
      </c>
      <c r="P124" s="21">
        <f t="shared" si="23"/>
        <v>2000</v>
      </c>
      <c r="Q124" s="21">
        <v>0</v>
      </c>
    </row>
    <row r="125" spans="1:17" s="183" customFormat="1" ht="13.5" customHeight="1">
      <c r="A125" s="14"/>
      <c r="B125" s="29" t="s">
        <v>334</v>
      </c>
      <c r="C125" s="301" t="s">
        <v>251</v>
      </c>
      <c r="D125" s="8"/>
      <c r="E125" s="17"/>
      <c r="F125" s="17"/>
      <c r="G125" s="17"/>
      <c r="H125" s="17"/>
      <c r="I125" s="17"/>
      <c r="J125" s="17"/>
      <c r="K125" s="8">
        <v>10000</v>
      </c>
      <c r="L125" s="8"/>
      <c r="M125" s="17"/>
      <c r="N125" s="8">
        <f t="shared" si="20"/>
        <v>10000</v>
      </c>
      <c r="O125" s="17">
        <v>0</v>
      </c>
      <c r="P125" s="21">
        <f>N125-Q125</f>
        <v>0</v>
      </c>
      <c r="Q125" s="21">
        <f>N125</f>
        <v>10000</v>
      </c>
    </row>
    <row r="126" spans="1:17" s="183" customFormat="1" ht="43.5" customHeight="1">
      <c r="A126" s="27"/>
      <c r="B126" s="28" t="s">
        <v>68</v>
      </c>
      <c r="C126" s="129" t="s">
        <v>69</v>
      </c>
      <c r="D126" s="8"/>
      <c r="E126" s="17"/>
      <c r="F126" s="17"/>
      <c r="G126" s="17"/>
      <c r="H126" s="17"/>
      <c r="I126" s="17"/>
      <c r="J126" s="17"/>
      <c r="K126" s="8">
        <v>42000</v>
      </c>
      <c r="L126" s="8"/>
      <c r="M126" s="17"/>
      <c r="N126" s="8">
        <f t="shared" si="20"/>
        <v>42000</v>
      </c>
      <c r="O126" s="17">
        <v>0</v>
      </c>
      <c r="P126" s="21">
        <v>0</v>
      </c>
      <c r="Q126" s="21">
        <f>N126</f>
        <v>42000</v>
      </c>
    </row>
    <row r="127" spans="1:17" s="183" customFormat="1" ht="13.5" customHeight="1">
      <c r="A127" s="27"/>
      <c r="B127" s="28" t="s">
        <v>307</v>
      </c>
      <c r="C127" s="301" t="s">
        <v>181</v>
      </c>
      <c r="D127" s="8"/>
      <c r="E127" s="17"/>
      <c r="F127" s="17"/>
      <c r="G127" s="17"/>
      <c r="H127" s="17"/>
      <c r="I127" s="17"/>
      <c r="J127" s="17"/>
      <c r="K127" s="8">
        <v>0</v>
      </c>
      <c r="L127" s="8"/>
      <c r="M127" s="17"/>
      <c r="N127" s="8">
        <f t="shared" si="20"/>
        <v>0</v>
      </c>
      <c r="O127" s="17">
        <v>0</v>
      </c>
      <c r="P127" s="21">
        <f t="shared" si="23"/>
        <v>0</v>
      </c>
      <c r="Q127" s="21">
        <f>N127</f>
        <v>0</v>
      </c>
    </row>
    <row r="128" spans="1:17" s="183" customFormat="1" ht="15" customHeight="1">
      <c r="A128" s="196" t="s">
        <v>340</v>
      </c>
      <c r="B128" s="207"/>
      <c r="C128" s="197" t="s">
        <v>341</v>
      </c>
      <c r="D128" s="169">
        <f>D130</f>
        <v>22000</v>
      </c>
      <c r="E128" s="169" t="e">
        <f>E130+E131+#REF!+E133+E134+E135</f>
        <v>#REF!</v>
      </c>
      <c r="F128" s="169" t="e">
        <f>F130+F131+#REF!+F133+F134+F135</f>
        <v>#REF!</v>
      </c>
      <c r="G128" s="169" t="e">
        <f>G130+G131+#REF!+G133+G134+G135</f>
        <v>#REF!</v>
      </c>
      <c r="H128" s="169">
        <f>H129+H130+H131+H133+H134+H135</f>
        <v>14177</v>
      </c>
      <c r="I128" s="169">
        <f>I129+I130+I131+I133+I134+I135</f>
        <v>0</v>
      </c>
      <c r="J128" s="169">
        <f>J129+J130+J131+J133+J134+J135</f>
        <v>0</v>
      </c>
      <c r="K128" s="169">
        <f>K129+K130+K131+K132+K133+K134+K135</f>
        <v>13000</v>
      </c>
      <c r="L128" s="169">
        <f>L129+L130+L131+L132+L133+L134+L135</f>
        <v>0</v>
      </c>
      <c r="M128" s="169">
        <f>M129+M130+M131+M132+M133+M134+M135</f>
        <v>0</v>
      </c>
      <c r="N128" s="169">
        <f t="shared" si="20"/>
        <v>13000</v>
      </c>
      <c r="O128" s="169">
        <f>O130+O131+O132+O133+O134+O135+O129</f>
        <v>13000</v>
      </c>
      <c r="P128" s="167">
        <f>P129+P130+P131+P132+P133+P134+P135</f>
        <v>0</v>
      </c>
      <c r="Q128" s="167">
        <f>Q129+Q130+Q131+Q132+Q133+Q134+Q135</f>
        <v>0</v>
      </c>
    </row>
    <row r="129" spans="1:17" s="183" customFormat="1" ht="16.5" customHeight="1">
      <c r="A129" s="14"/>
      <c r="B129" s="28" t="s">
        <v>263</v>
      </c>
      <c r="C129" s="301" t="s">
        <v>337</v>
      </c>
      <c r="D129" s="17"/>
      <c r="E129" s="17"/>
      <c r="F129" s="17"/>
      <c r="G129" s="17"/>
      <c r="H129" s="17">
        <v>5842</v>
      </c>
      <c r="I129" s="17">
        <v>0</v>
      </c>
      <c r="J129" s="17">
        <v>0</v>
      </c>
      <c r="K129" s="8">
        <v>5330</v>
      </c>
      <c r="L129" s="8"/>
      <c r="M129" s="17">
        <v>0</v>
      </c>
      <c r="N129" s="8">
        <f t="shared" si="20"/>
        <v>5330</v>
      </c>
      <c r="O129" s="17">
        <f>N129</f>
        <v>5330</v>
      </c>
      <c r="P129" s="18">
        <v>0</v>
      </c>
      <c r="Q129" s="18">
        <v>0</v>
      </c>
    </row>
    <row r="130" spans="1:17" s="183" customFormat="1" ht="15.75" customHeight="1">
      <c r="A130" s="27"/>
      <c r="B130" s="28" t="s">
        <v>298</v>
      </c>
      <c r="C130" s="301" t="s">
        <v>342</v>
      </c>
      <c r="D130" s="8">
        <v>22000</v>
      </c>
      <c r="E130" s="17">
        <v>963</v>
      </c>
      <c r="F130" s="17">
        <v>0</v>
      </c>
      <c r="G130" s="17">
        <v>0</v>
      </c>
      <c r="H130" s="17">
        <v>465</v>
      </c>
      <c r="I130" s="17">
        <v>0</v>
      </c>
      <c r="J130" s="17">
        <v>0</v>
      </c>
      <c r="K130" s="8">
        <v>775</v>
      </c>
      <c r="L130" s="8">
        <v>0</v>
      </c>
      <c r="M130" s="17"/>
      <c r="N130" s="8">
        <f t="shared" si="20"/>
        <v>775</v>
      </c>
      <c r="O130" s="17">
        <f aca="true" t="shared" si="24" ref="O130:O135">N130</f>
        <v>775</v>
      </c>
      <c r="P130" s="21">
        <v>0</v>
      </c>
      <c r="Q130" s="21">
        <v>0</v>
      </c>
    </row>
    <row r="131" spans="1:17" s="183" customFormat="1" ht="15.75" customHeight="1">
      <c r="A131" s="27"/>
      <c r="B131" s="28" t="s">
        <v>273</v>
      </c>
      <c r="C131" s="301" t="s">
        <v>274</v>
      </c>
      <c r="D131" s="8"/>
      <c r="E131" s="17">
        <v>132</v>
      </c>
      <c r="F131" s="17">
        <v>0</v>
      </c>
      <c r="G131" s="17">
        <v>0</v>
      </c>
      <c r="H131" s="17">
        <v>66</v>
      </c>
      <c r="I131" s="17">
        <v>0</v>
      </c>
      <c r="J131" s="17">
        <v>0</v>
      </c>
      <c r="K131" s="8">
        <v>110</v>
      </c>
      <c r="L131" s="8">
        <v>0</v>
      </c>
      <c r="M131" s="17"/>
      <c r="N131" s="8">
        <f t="shared" si="20"/>
        <v>110</v>
      </c>
      <c r="O131" s="17">
        <f t="shared" si="24"/>
        <v>110</v>
      </c>
      <c r="P131" s="21">
        <v>0</v>
      </c>
      <c r="Q131" s="21">
        <v>0</v>
      </c>
    </row>
    <row r="132" spans="1:17" s="183" customFormat="1" ht="15.75" customHeight="1">
      <c r="A132" s="27"/>
      <c r="B132" s="28" t="s">
        <v>97</v>
      </c>
      <c r="C132" s="301" t="s">
        <v>111</v>
      </c>
      <c r="D132" s="8"/>
      <c r="E132" s="17"/>
      <c r="F132" s="17"/>
      <c r="G132" s="17"/>
      <c r="H132" s="17"/>
      <c r="I132" s="17"/>
      <c r="J132" s="17"/>
      <c r="K132" s="8">
        <v>5400</v>
      </c>
      <c r="L132" s="8">
        <v>0</v>
      </c>
      <c r="M132" s="17"/>
      <c r="N132" s="8">
        <f t="shared" si="20"/>
        <v>5400</v>
      </c>
      <c r="O132" s="17">
        <f t="shared" si="24"/>
        <v>5400</v>
      </c>
      <c r="P132" s="21">
        <v>0</v>
      </c>
      <c r="Q132" s="21">
        <v>0</v>
      </c>
    </row>
    <row r="133" spans="1:17" s="183" customFormat="1" ht="16.5" customHeight="1">
      <c r="A133" s="27"/>
      <c r="B133" s="28" t="s">
        <v>275</v>
      </c>
      <c r="C133" s="301" t="s">
        <v>302</v>
      </c>
      <c r="D133" s="8"/>
      <c r="E133" s="17">
        <v>6208</v>
      </c>
      <c r="F133" s="17">
        <v>0</v>
      </c>
      <c r="G133" s="17">
        <v>0</v>
      </c>
      <c r="H133" s="17">
        <v>3642</v>
      </c>
      <c r="I133" s="17">
        <v>0</v>
      </c>
      <c r="J133" s="17">
        <v>0</v>
      </c>
      <c r="K133" s="8">
        <v>687</v>
      </c>
      <c r="L133" s="8"/>
      <c r="M133" s="17">
        <v>0</v>
      </c>
      <c r="N133" s="8">
        <f t="shared" si="20"/>
        <v>687</v>
      </c>
      <c r="O133" s="17">
        <f t="shared" si="24"/>
        <v>687</v>
      </c>
      <c r="P133" s="21">
        <v>0</v>
      </c>
      <c r="Q133" s="21">
        <v>0</v>
      </c>
    </row>
    <row r="134" spans="1:17" s="183" customFormat="1" ht="15.75" customHeight="1">
      <c r="A134" s="27"/>
      <c r="B134" s="28" t="s">
        <v>281</v>
      </c>
      <c r="C134" s="301" t="s">
        <v>282</v>
      </c>
      <c r="D134" s="8"/>
      <c r="E134" s="17">
        <v>2165</v>
      </c>
      <c r="F134" s="17">
        <v>0</v>
      </c>
      <c r="G134" s="17">
        <v>0</v>
      </c>
      <c r="H134" s="17">
        <v>3948</v>
      </c>
      <c r="I134" s="17">
        <v>0</v>
      </c>
      <c r="J134" s="17">
        <v>0</v>
      </c>
      <c r="K134" s="8">
        <v>450</v>
      </c>
      <c r="L134" s="8"/>
      <c r="M134" s="17">
        <v>0</v>
      </c>
      <c r="N134" s="8">
        <f t="shared" si="20"/>
        <v>450</v>
      </c>
      <c r="O134" s="17">
        <f t="shared" si="24"/>
        <v>450</v>
      </c>
      <c r="P134" s="21">
        <v>0</v>
      </c>
      <c r="Q134" s="21">
        <v>0</v>
      </c>
    </row>
    <row r="135" spans="1:17" s="183" customFormat="1" ht="15.75" customHeight="1">
      <c r="A135" s="27"/>
      <c r="B135" s="28" t="s">
        <v>283</v>
      </c>
      <c r="C135" s="301" t="s">
        <v>284</v>
      </c>
      <c r="D135" s="8"/>
      <c r="E135" s="17">
        <v>393</v>
      </c>
      <c r="F135" s="17">
        <v>0</v>
      </c>
      <c r="G135" s="17">
        <v>0</v>
      </c>
      <c r="H135" s="17">
        <v>214</v>
      </c>
      <c r="I135" s="17">
        <v>0</v>
      </c>
      <c r="J135" s="17">
        <v>0</v>
      </c>
      <c r="K135" s="8">
        <v>248</v>
      </c>
      <c r="L135" s="8"/>
      <c r="M135" s="17">
        <v>0</v>
      </c>
      <c r="N135" s="8">
        <f t="shared" si="20"/>
        <v>248</v>
      </c>
      <c r="O135" s="17">
        <f t="shared" si="24"/>
        <v>248</v>
      </c>
      <c r="P135" s="21">
        <v>0</v>
      </c>
      <c r="Q135" s="21">
        <v>0</v>
      </c>
    </row>
    <row r="136" spans="1:17" s="182" customFormat="1" ht="24.75" customHeight="1">
      <c r="A136" s="196" t="s">
        <v>537</v>
      </c>
      <c r="B136" s="207"/>
      <c r="C136" s="197" t="s">
        <v>538</v>
      </c>
      <c r="D136" s="169"/>
      <c r="E136" s="169"/>
      <c r="F136" s="169"/>
      <c r="G136" s="169"/>
      <c r="H136" s="169"/>
      <c r="I136" s="169"/>
      <c r="J136" s="169"/>
      <c r="K136" s="169">
        <f>SUM(K137:K140)</f>
        <v>11000</v>
      </c>
      <c r="L136" s="169">
        <f>SUM(L137:L140)</f>
        <v>0</v>
      </c>
      <c r="M136" s="169">
        <f>SUM(M137:M140)</f>
        <v>0</v>
      </c>
      <c r="N136" s="169">
        <f t="shared" si="20"/>
        <v>11000</v>
      </c>
      <c r="O136" s="169">
        <f>SUM(O137:O140)</f>
        <v>0</v>
      </c>
      <c r="P136" s="169">
        <f>SUM(P137:P140)</f>
        <v>11000</v>
      </c>
      <c r="Q136" s="169">
        <f>SUM(Q137:Q140)</f>
        <v>0</v>
      </c>
    </row>
    <row r="137" spans="1:17" s="183" customFormat="1" ht="19.5" customHeight="1">
      <c r="A137" s="27"/>
      <c r="B137" s="28" t="s">
        <v>334</v>
      </c>
      <c r="C137" s="301" t="s">
        <v>539</v>
      </c>
      <c r="D137" s="8"/>
      <c r="E137" s="17"/>
      <c r="F137" s="17"/>
      <c r="G137" s="17"/>
      <c r="H137" s="17"/>
      <c r="I137" s="17"/>
      <c r="J137" s="17"/>
      <c r="K137" s="8">
        <v>0</v>
      </c>
      <c r="L137" s="8"/>
      <c r="M137" s="17"/>
      <c r="N137" s="8">
        <f t="shared" si="20"/>
        <v>0</v>
      </c>
      <c r="O137" s="17">
        <v>0</v>
      </c>
      <c r="P137" s="21">
        <f aca="true" t="shared" si="25" ref="P137:P145">N137</f>
        <v>0</v>
      </c>
      <c r="Q137" s="21">
        <f>N137</f>
        <v>0</v>
      </c>
    </row>
    <row r="138" spans="1:17" s="183" customFormat="1" ht="18" customHeight="1">
      <c r="A138" s="27"/>
      <c r="B138" s="28" t="s">
        <v>97</v>
      </c>
      <c r="C138" s="301" t="s">
        <v>540</v>
      </c>
      <c r="D138" s="8"/>
      <c r="E138" s="17"/>
      <c r="F138" s="17"/>
      <c r="G138" s="17"/>
      <c r="H138" s="17"/>
      <c r="I138" s="17"/>
      <c r="J138" s="17"/>
      <c r="K138" s="8">
        <v>1800</v>
      </c>
      <c r="L138" s="8"/>
      <c r="M138" s="17"/>
      <c r="N138" s="8">
        <f t="shared" si="20"/>
        <v>1800</v>
      </c>
      <c r="O138" s="17">
        <v>0</v>
      </c>
      <c r="P138" s="21">
        <f t="shared" si="25"/>
        <v>1800</v>
      </c>
      <c r="Q138" s="21">
        <v>0</v>
      </c>
    </row>
    <row r="139" spans="1:17" s="183" customFormat="1" ht="18.75" customHeight="1">
      <c r="A139" s="27"/>
      <c r="B139" s="28" t="s">
        <v>275</v>
      </c>
      <c r="C139" s="301" t="s">
        <v>276</v>
      </c>
      <c r="D139" s="8"/>
      <c r="E139" s="17"/>
      <c r="F139" s="17"/>
      <c r="G139" s="17"/>
      <c r="H139" s="17"/>
      <c r="I139" s="17"/>
      <c r="J139" s="17"/>
      <c r="K139" s="8">
        <v>3000</v>
      </c>
      <c r="L139" s="8"/>
      <c r="M139" s="17">
        <v>0</v>
      </c>
      <c r="N139" s="8">
        <f t="shared" si="20"/>
        <v>3000</v>
      </c>
      <c r="O139" s="17">
        <v>0</v>
      </c>
      <c r="P139" s="21">
        <f t="shared" si="25"/>
        <v>3000</v>
      </c>
      <c r="Q139" s="21">
        <v>0</v>
      </c>
    </row>
    <row r="140" spans="1:17" s="183" customFormat="1" ht="18" customHeight="1">
      <c r="A140" s="44"/>
      <c r="B140" s="148" t="s">
        <v>281</v>
      </c>
      <c r="C140" s="322" t="s">
        <v>399</v>
      </c>
      <c r="D140" s="65"/>
      <c r="E140" s="90"/>
      <c r="F140" s="90"/>
      <c r="G140" s="90"/>
      <c r="H140" s="90"/>
      <c r="I140" s="90"/>
      <c r="J140" s="90"/>
      <c r="K140" s="65">
        <v>6200</v>
      </c>
      <c r="L140" s="65"/>
      <c r="M140" s="90">
        <v>0</v>
      </c>
      <c r="N140" s="8">
        <f t="shared" si="20"/>
        <v>6200</v>
      </c>
      <c r="O140" s="17">
        <v>0</v>
      </c>
      <c r="P140" s="21">
        <f t="shared" si="25"/>
        <v>6200</v>
      </c>
      <c r="Q140" s="41">
        <v>0</v>
      </c>
    </row>
    <row r="141" spans="1:17" s="326" customFormat="1" ht="15" customHeight="1">
      <c r="A141" s="196" t="s">
        <v>343</v>
      </c>
      <c r="B141" s="207"/>
      <c r="C141" s="310" t="s">
        <v>344</v>
      </c>
      <c r="D141" s="169" t="e">
        <f>#REF!</f>
        <v>#REF!</v>
      </c>
      <c r="E141" s="169" t="e">
        <f>#REF!+E145</f>
        <v>#REF!</v>
      </c>
      <c r="F141" s="169" t="e">
        <f>#REF!+F145</f>
        <v>#REF!</v>
      </c>
      <c r="G141" s="169" t="e">
        <f>#REF!+G145</f>
        <v>#REF!</v>
      </c>
      <c r="H141" s="169">
        <f>H143+H145</f>
        <v>8900</v>
      </c>
      <c r="I141" s="169">
        <f>I143+I145</f>
        <v>0</v>
      </c>
      <c r="J141" s="169">
        <f>J143+J145</f>
        <v>0</v>
      </c>
      <c r="K141" s="169">
        <f>SUM(K142:K145)</f>
        <v>17000</v>
      </c>
      <c r="L141" s="169">
        <f>SUM(L142:L145)</f>
        <v>0</v>
      </c>
      <c r="M141" s="169">
        <f>SUM(M142:M145)</f>
        <v>0</v>
      </c>
      <c r="N141" s="169">
        <f t="shared" si="20"/>
        <v>17000</v>
      </c>
      <c r="O141" s="169"/>
      <c r="P141" s="167">
        <f t="shared" si="25"/>
        <v>17000</v>
      </c>
      <c r="Q141" s="167">
        <f>Q143+Q142+Q144+Q145</f>
        <v>0</v>
      </c>
    </row>
    <row r="142" spans="1:17" s="183" customFormat="1" ht="19.5" customHeight="1">
      <c r="A142" s="27"/>
      <c r="B142" s="28" t="s">
        <v>97</v>
      </c>
      <c r="C142" s="301" t="s">
        <v>682</v>
      </c>
      <c r="D142" s="8"/>
      <c r="E142" s="17"/>
      <c r="F142" s="17"/>
      <c r="G142" s="17"/>
      <c r="H142" s="17"/>
      <c r="I142" s="17"/>
      <c r="J142" s="17"/>
      <c r="K142" s="8">
        <v>3000</v>
      </c>
      <c r="L142" s="8">
        <v>0</v>
      </c>
      <c r="M142" s="17"/>
      <c r="N142" s="8">
        <f aca="true" t="shared" si="26" ref="N142:N176">K142+L142-M142</f>
        <v>3000</v>
      </c>
      <c r="O142" s="17">
        <v>0</v>
      </c>
      <c r="P142" s="21">
        <f t="shared" si="25"/>
        <v>3000</v>
      </c>
      <c r="Q142" s="21">
        <v>0</v>
      </c>
    </row>
    <row r="143" spans="1:17" s="183" customFormat="1" ht="19.5" customHeight="1">
      <c r="A143" s="27"/>
      <c r="B143" s="28" t="s">
        <v>275</v>
      </c>
      <c r="C143" s="301" t="s">
        <v>302</v>
      </c>
      <c r="D143" s="8"/>
      <c r="E143" s="17"/>
      <c r="F143" s="17"/>
      <c r="G143" s="17"/>
      <c r="H143" s="17">
        <v>800</v>
      </c>
      <c r="I143" s="17">
        <v>0</v>
      </c>
      <c r="J143" s="17">
        <v>0</v>
      </c>
      <c r="K143" s="8">
        <v>350</v>
      </c>
      <c r="L143" s="8"/>
      <c r="M143" s="17">
        <v>0</v>
      </c>
      <c r="N143" s="8">
        <f t="shared" si="26"/>
        <v>350</v>
      </c>
      <c r="O143" s="17">
        <v>0</v>
      </c>
      <c r="P143" s="21">
        <f t="shared" si="25"/>
        <v>350</v>
      </c>
      <c r="Q143" s="21">
        <v>0</v>
      </c>
    </row>
    <row r="144" spans="1:17" s="183" customFormat="1" ht="18.75" customHeight="1">
      <c r="A144" s="27"/>
      <c r="B144" s="28" t="s">
        <v>281</v>
      </c>
      <c r="C144" s="301" t="s">
        <v>282</v>
      </c>
      <c r="D144" s="8"/>
      <c r="E144" s="17"/>
      <c r="F144" s="17"/>
      <c r="G144" s="17"/>
      <c r="H144" s="17"/>
      <c r="I144" s="17"/>
      <c r="J144" s="17"/>
      <c r="K144" s="8">
        <v>1768</v>
      </c>
      <c r="L144" s="8">
        <v>0</v>
      </c>
      <c r="M144" s="17"/>
      <c r="N144" s="8">
        <f t="shared" si="26"/>
        <v>1768</v>
      </c>
      <c r="O144" s="17">
        <v>0</v>
      </c>
      <c r="P144" s="21">
        <f t="shared" si="25"/>
        <v>1768</v>
      </c>
      <c r="Q144" s="21">
        <v>0</v>
      </c>
    </row>
    <row r="145" spans="1:17" s="183" customFormat="1" ht="21" customHeight="1">
      <c r="A145" s="27"/>
      <c r="B145" s="28" t="s">
        <v>285</v>
      </c>
      <c r="C145" s="301" t="s">
        <v>459</v>
      </c>
      <c r="D145" s="8"/>
      <c r="E145" s="17">
        <v>7000</v>
      </c>
      <c r="F145" s="17">
        <v>0</v>
      </c>
      <c r="G145" s="17">
        <v>0</v>
      </c>
      <c r="H145" s="17">
        <v>8100</v>
      </c>
      <c r="I145" s="17">
        <v>0</v>
      </c>
      <c r="J145" s="17">
        <v>0</v>
      </c>
      <c r="K145" s="8">
        <v>11882</v>
      </c>
      <c r="L145" s="8">
        <v>0</v>
      </c>
      <c r="M145" s="17"/>
      <c r="N145" s="8">
        <f t="shared" si="26"/>
        <v>11882</v>
      </c>
      <c r="O145" s="17">
        <v>0</v>
      </c>
      <c r="P145" s="21">
        <f t="shared" si="25"/>
        <v>11882</v>
      </c>
      <c r="Q145" s="21">
        <v>0</v>
      </c>
    </row>
    <row r="146" spans="1:17" s="183" customFormat="1" ht="27" customHeight="1">
      <c r="A146" s="173" t="s">
        <v>345</v>
      </c>
      <c r="B146" s="177"/>
      <c r="C146" s="179" t="s">
        <v>346</v>
      </c>
      <c r="D146" s="174" t="e">
        <f>#REF!+D147</f>
        <v>#REF!</v>
      </c>
      <c r="E146" s="174" t="e">
        <f>#REF!+E147</f>
        <v>#REF!</v>
      </c>
      <c r="F146" s="174" t="e">
        <f>#REF!+F147</f>
        <v>#REF!</v>
      </c>
      <c r="G146" s="174" t="e">
        <f>#REF!+G147</f>
        <v>#REF!</v>
      </c>
      <c r="H146" s="174" t="e">
        <f>#REF!+H147</f>
        <v>#REF!</v>
      </c>
      <c r="I146" s="174" t="e">
        <f>#REF!+I147</f>
        <v>#REF!</v>
      </c>
      <c r="J146" s="174" t="e">
        <f>#REF!+J147</f>
        <v>#REF!</v>
      </c>
      <c r="K146" s="174">
        <f>+K147+K169</f>
        <v>2230000</v>
      </c>
      <c r="L146" s="174">
        <f>+L147+L169</f>
        <v>5000</v>
      </c>
      <c r="M146" s="174">
        <f>+M147+M169</f>
        <v>5000</v>
      </c>
      <c r="N146" s="174">
        <f t="shared" si="26"/>
        <v>2230000</v>
      </c>
      <c r="O146" s="174">
        <f>+O147+O169</f>
        <v>2204000</v>
      </c>
      <c r="P146" s="174">
        <f>+P147+P169</f>
        <v>26000</v>
      </c>
      <c r="Q146" s="174">
        <f>+Q147+Q169</f>
        <v>0</v>
      </c>
    </row>
    <row r="147" spans="1:17" s="183" customFormat="1" ht="33" customHeight="1">
      <c r="A147" s="196" t="s">
        <v>400</v>
      </c>
      <c r="B147" s="207"/>
      <c r="C147" s="197" t="s">
        <v>401</v>
      </c>
      <c r="D147" s="169" t="e">
        <f>D149+D150+D151+D152+D153+#REF!+D154+D155</f>
        <v>#REF!</v>
      </c>
      <c r="E147" s="169" t="e">
        <f>E149+E150+E151+E152+E153+#REF!+E154+E155+#REF!+E157+E158+E159+E160+E162+E163+E164+#REF!+E165+E166+#REF!+#REF!</f>
        <v>#REF!</v>
      </c>
      <c r="F147" s="169" t="e">
        <f>F149+F150+F151+F152+F153+#REF!+F154+F155+#REF!+F157+F159+F160+F162+F163+#REF!+F165+F166+#REF!+#REF!</f>
        <v>#REF!</v>
      </c>
      <c r="G147" s="169" t="e">
        <f>G149+G150+G151+G152+G153+#REF!+G154+G155+#REF!+G157+G159+G160+G162+G163+#REF!+G165+G166+#REF!+#REF!</f>
        <v>#REF!</v>
      </c>
      <c r="H147" s="169" t="e">
        <f>H149+H150+H151+H152+H153+#REF!+H154+H155+#REF!+H157+H158+H159+H160+H162+H163+H164+H165+#REF!+H166+#REF!</f>
        <v>#REF!</v>
      </c>
      <c r="I147" s="169" t="e">
        <f>I149+I150+I151+I152+I153+#REF!+I154+I155+#REF!+I157+I158+I159+I160+I162+I163+I164+I165+#REF!+I166+#REF!</f>
        <v>#REF!</v>
      </c>
      <c r="J147" s="169" t="e">
        <f>J149+J150+J151+J152+J153+#REF!+J154+J155+#REF!+J157+J158+J159+J160+J162+J163+J164+J165+#REF!+J166+#REF!</f>
        <v>#REF!</v>
      </c>
      <c r="K147" s="169">
        <f>K149+K150+K151+K152+K153+K154+K155+K148+K156+K157+K158+K159+K160+K162+K163+K164+K165+K166+K167+K161+K168</f>
        <v>2227000</v>
      </c>
      <c r="L147" s="169">
        <f>L149+L150+L151+L152+L153+L154+L155+L148+L156+L157+L158+L159+L160+L162+L163+L164+L165+L166+L167+L161+L168</f>
        <v>5000</v>
      </c>
      <c r="M147" s="169">
        <f>M149+M150+M151+M152+M153+M154+M155+M148+M156+M157+M158+M159+M160+M162+M163+M164+M165+M166+M167+M161+M168</f>
        <v>5000</v>
      </c>
      <c r="N147" s="169">
        <f t="shared" si="26"/>
        <v>2227000</v>
      </c>
      <c r="O147" s="169">
        <f>O149+O150+O151+O152+O153+O154+O155+O148+O156+O157+O158+O159+O160+O162+O163+O164+O165+O166+O167+O161</f>
        <v>2201000</v>
      </c>
      <c r="P147" s="169">
        <f>P149+P150+P151+P152+P153+P154+P155+P148+P156+P157+P158+P159+P160+P162+P163+P164+P165+P166+P167+P161+P168</f>
        <v>26000</v>
      </c>
      <c r="Q147" s="169">
        <f>Q149+Q150+Q151+Q152+Q153+Q154+Q155+Q148+Q156+Q157+Q158+Q159+Q160+Q162+Q163+Q164+Q165+Q166+Q167+Q161</f>
        <v>0</v>
      </c>
    </row>
    <row r="148" spans="1:17" s="183" customFormat="1" ht="15.75" customHeight="1">
      <c r="A148" s="27"/>
      <c r="B148" s="28" t="s">
        <v>683</v>
      </c>
      <c r="C148" s="301" t="s">
        <v>684</v>
      </c>
      <c r="D148" s="8"/>
      <c r="E148" s="17"/>
      <c r="F148" s="17"/>
      <c r="G148" s="17"/>
      <c r="H148" s="17"/>
      <c r="I148" s="17"/>
      <c r="J148" s="17"/>
      <c r="K148" s="8">
        <v>149000</v>
      </c>
      <c r="L148" s="8"/>
      <c r="M148" s="17"/>
      <c r="N148" s="8">
        <f t="shared" si="26"/>
        <v>149000</v>
      </c>
      <c r="O148" s="17">
        <f>N148</f>
        <v>149000</v>
      </c>
      <c r="P148" s="21">
        <v>0</v>
      </c>
      <c r="Q148" s="21">
        <v>0</v>
      </c>
    </row>
    <row r="149" spans="1:17" s="183" customFormat="1" ht="15.75" customHeight="1">
      <c r="A149" s="27"/>
      <c r="B149" s="28" t="s">
        <v>267</v>
      </c>
      <c r="C149" s="301" t="s">
        <v>696</v>
      </c>
      <c r="D149" s="8">
        <v>15218</v>
      </c>
      <c r="E149" s="17">
        <v>14500</v>
      </c>
      <c r="F149" s="17">
        <v>1000</v>
      </c>
      <c r="G149" s="17">
        <v>0</v>
      </c>
      <c r="H149" s="17">
        <v>17000</v>
      </c>
      <c r="I149" s="17">
        <v>0</v>
      </c>
      <c r="J149" s="17">
        <v>0</v>
      </c>
      <c r="K149" s="8">
        <v>19000</v>
      </c>
      <c r="L149" s="8"/>
      <c r="M149" s="17"/>
      <c r="N149" s="8">
        <f t="shared" si="26"/>
        <v>19000</v>
      </c>
      <c r="O149" s="17">
        <f aca="true" t="shared" si="27" ref="O149:O171">N149</f>
        <v>19000</v>
      </c>
      <c r="P149" s="21">
        <v>0</v>
      </c>
      <c r="Q149" s="21">
        <v>0</v>
      </c>
    </row>
    <row r="150" spans="1:17" s="183" customFormat="1" ht="15.75" customHeight="1">
      <c r="A150" s="27"/>
      <c r="B150" s="28" t="s">
        <v>269</v>
      </c>
      <c r="C150" s="301" t="s">
        <v>270</v>
      </c>
      <c r="D150" s="8">
        <v>782</v>
      </c>
      <c r="E150" s="17">
        <v>1200</v>
      </c>
      <c r="F150" s="17">
        <v>0</v>
      </c>
      <c r="G150" s="17">
        <v>14</v>
      </c>
      <c r="H150" s="17">
        <v>1415</v>
      </c>
      <c r="I150" s="17">
        <v>0</v>
      </c>
      <c r="J150" s="17">
        <v>0</v>
      </c>
      <c r="K150" s="8">
        <v>2000</v>
      </c>
      <c r="L150" s="8"/>
      <c r="M150" s="17"/>
      <c r="N150" s="8">
        <f t="shared" si="26"/>
        <v>2000</v>
      </c>
      <c r="O150" s="17">
        <f t="shared" si="27"/>
        <v>2000</v>
      </c>
      <c r="P150" s="21">
        <v>0</v>
      </c>
      <c r="Q150" s="21">
        <v>0</v>
      </c>
    </row>
    <row r="151" spans="1:17" s="183" customFormat="1" ht="24" customHeight="1">
      <c r="A151" s="27"/>
      <c r="B151" s="28" t="s">
        <v>386</v>
      </c>
      <c r="C151" s="301" t="s">
        <v>387</v>
      </c>
      <c r="D151" s="8">
        <v>1635532</v>
      </c>
      <c r="E151" s="17">
        <v>1917450</v>
      </c>
      <c r="F151" s="17">
        <v>0</v>
      </c>
      <c r="G151" s="17">
        <v>0</v>
      </c>
      <c r="H151" s="17">
        <v>1149573</v>
      </c>
      <c r="I151" s="17">
        <v>0</v>
      </c>
      <c r="J151" s="17">
        <v>0</v>
      </c>
      <c r="K151" s="8">
        <v>1388850</v>
      </c>
      <c r="L151" s="8"/>
      <c r="M151" s="17">
        <v>0</v>
      </c>
      <c r="N151" s="8">
        <f t="shared" si="26"/>
        <v>1388850</v>
      </c>
      <c r="O151" s="17">
        <f t="shared" si="27"/>
        <v>1388850</v>
      </c>
      <c r="P151" s="21">
        <v>0</v>
      </c>
      <c r="Q151" s="21">
        <v>0</v>
      </c>
    </row>
    <row r="152" spans="1:17" s="183" customFormat="1" ht="15" customHeight="1">
      <c r="A152" s="27"/>
      <c r="B152" s="28" t="s">
        <v>388</v>
      </c>
      <c r="C152" s="301" t="s">
        <v>389</v>
      </c>
      <c r="D152" s="8">
        <v>15859</v>
      </c>
      <c r="E152" s="17">
        <v>46700</v>
      </c>
      <c r="F152" s="17">
        <v>0</v>
      </c>
      <c r="G152" s="17">
        <v>0</v>
      </c>
      <c r="H152" s="17">
        <v>5200</v>
      </c>
      <c r="I152" s="17">
        <v>0</v>
      </c>
      <c r="J152" s="17">
        <v>0</v>
      </c>
      <c r="K152" s="8">
        <v>147000</v>
      </c>
      <c r="L152" s="8"/>
      <c r="M152" s="17">
        <v>0</v>
      </c>
      <c r="N152" s="8">
        <f t="shared" si="26"/>
        <v>147000</v>
      </c>
      <c r="O152" s="17">
        <f t="shared" si="27"/>
        <v>147000</v>
      </c>
      <c r="P152" s="21">
        <v>0</v>
      </c>
      <c r="Q152" s="21">
        <v>0</v>
      </c>
    </row>
    <row r="153" spans="1:17" s="183" customFormat="1" ht="15.75" customHeight="1">
      <c r="A153" s="27"/>
      <c r="B153" s="28" t="s">
        <v>390</v>
      </c>
      <c r="C153" s="301" t="s">
        <v>391</v>
      </c>
      <c r="D153" s="8">
        <v>96233</v>
      </c>
      <c r="E153" s="17">
        <v>146640</v>
      </c>
      <c r="F153" s="17">
        <v>0</v>
      </c>
      <c r="G153" s="17">
        <v>15640</v>
      </c>
      <c r="H153" s="17">
        <v>86500</v>
      </c>
      <c r="I153" s="17">
        <v>0</v>
      </c>
      <c r="J153" s="17">
        <v>0</v>
      </c>
      <c r="K153" s="8">
        <v>117000</v>
      </c>
      <c r="L153" s="8"/>
      <c r="M153" s="17">
        <v>0</v>
      </c>
      <c r="N153" s="8">
        <f t="shared" si="26"/>
        <v>117000</v>
      </c>
      <c r="O153" s="17">
        <f t="shared" si="27"/>
        <v>117000</v>
      </c>
      <c r="P153" s="21">
        <v>0</v>
      </c>
      <c r="Q153" s="21">
        <v>0</v>
      </c>
    </row>
    <row r="154" spans="1:17" s="183" customFormat="1" ht="18" customHeight="1">
      <c r="A154" s="27"/>
      <c r="B154" s="29" t="s">
        <v>328</v>
      </c>
      <c r="C154" s="301" t="s">
        <v>342</v>
      </c>
      <c r="D154" s="8">
        <v>39438</v>
      </c>
      <c r="E154" s="17">
        <v>71560</v>
      </c>
      <c r="F154" s="17">
        <v>0</v>
      </c>
      <c r="G154" s="17">
        <v>26000</v>
      </c>
      <c r="H154" s="17">
        <v>38000</v>
      </c>
      <c r="I154" s="17">
        <v>0</v>
      </c>
      <c r="J154" s="17">
        <v>0</v>
      </c>
      <c r="K154" s="8">
        <v>10500</v>
      </c>
      <c r="L154" s="8">
        <v>0</v>
      </c>
      <c r="M154" s="17"/>
      <c r="N154" s="8">
        <f t="shared" si="26"/>
        <v>10500</v>
      </c>
      <c r="O154" s="17">
        <f t="shared" si="27"/>
        <v>10500</v>
      </c>
      <c r="P154" s="21">
        <v>0</v>
      </c>
      <c r="Q154" s="21">
        <v>0</v>
      </c>
    </row>
    <row r="155" spans="1:17" s="183" customFormat="1" ht="15.75" customHeight="1">
      <c r="A155" s="27"/>
      <c r="B155" s="28" t="s">
        <v>273</v>
      </c>
      <c r="C155" s="301" t="s">
        <v>274</v>
      </c>
      <c r="D155" s="8">
        <v>843962</v>
      </c>
      <c r="E155" s="17">
        <v>12030</v>
      </c>
      <c r="F155" s="17">
        <v>0</v>
      </c>
      <c r="G155" s="17">
        <v>5000</v>
      </c>
      <c r="H155" s="17">
        <v>5410</v>
      </c>
      <c r="I155" s="17">
        <v>0</v>
      </c>
      <c r="J155" s="17">
        <v>0</v>
      </c>
      <c r="K155" s="8">
        <v>650</v>
      </c>
      <c r="L155" s="8">
        <v>0</v>
      </c>
      <c r="M155" s="17"/>
      <c r="N155" s="8">
        <f t="shared" si="26"/>
        <v>650</v>
      </c>
      <c r="O155" s="17">
        <f t="shared" si="27"/>
        <v>650</v>
      </c>
      <c r="P155" s="21">
        <v>0</v>
      </c>
      <c r="Q155" s="21">
        <v>0</v>
      </c>
    </row>
    <row r="156" spans="1:17" s="183" customFormat="1" ht="15.75" customHeight="1">
      <c r="A156" s="27"/>
      <c r="B156" s="28" t="s">
        <v>685</v>
      </c>
      <c r="C156" s="301" t="s">
        <v>686</v>
      </c>
      <c r="D156" s="8"/>
      <c r="E156" s="17"/>
      <c r="F156" s="17"/>
      <c r="G156" s="17"/>
      <c r="H156" s="17"/>
      <c r="I156" s="17"/>
      <c r="J156" s="17"/>
      <c r="K156" s="8">
        <v>93000</v>
      </c>
      <c r="L156" s="8"/>
      <c r="M156" s="17"/>
      <c r="N156" s="8">
        <f t="shared" si="26"/>
        <v>93000</v>
      </c>
      <c r="O156" s="17">
        <f t="shared" si="27"/>
        <v>93000</v>
      </c>
      <c r="P156" s="21">
        <v>0</v>
      </c>
      <c r="Q156" s="21">
        <v>0</v>
      </c>
    </row>
    <row r="157" spans="1:17" s="183" customFormat="1" ht="15.75" customHeight="1">
      <c r="A157" s="27"/>
      <c r="B157" s="28" t="s">
        <v>275</v>
      </c>
      <c r="C157" s="301" t="s">
        <v>276</v>
      </c>
      <c r="D157" s="8"/>
      <c r="E157" s="17">
        <v>296300</v>
      </c>
      <c r="F157" s="17">
        <v>62410</v>
      </c>
      <c r="G157" s="17">
        <v>0</v>
      </c>
      <c r="H157" s="17">
        <v>173952</v>
      </c>
      <c r="I157" s="17">
        <v>0</v>
      </c>
      <c r="J157" s="17">
        <v>0</v>
      </c>
      <c r="K157" s="8">
        <v>138820</v>
      </c>
      <c r="L157" s="8">
        <v>5000</v>
      </c>
      <c r="M157" s="17">
        <v>0</v>
      </c>
      <c r="N157" s="8">
        <f t="shared" si="26"/>
        <v>143820</v>
      </c>
      <c r="O157" s="17">
        <f>N157-P157</f>
        <v>137820</v>
      </c>
      <c r="P157" s="21">
        <v>6000</v>
      </c>
      <c r="Q157" s="21">
        <v>0</v>
      </c>
    </row>
    <row r="158" spans="1:17" s="183" customFormat="1" ht="16.5" customHeight="1">
      <c r="A158" s="27"/>
      <c r="B158" s="28" t="s">
        <v>395</v>
      </c>
      <c r="C158" s="301" t="s">
        <v>396</v>
      </c>
      <c r="D158" s="8"/>
      <c r="E158" s="17">
        <v>0</v>
      </c>
      <c r="F158" s="17"/>
      <c r="G158" s="17"/>
      <c r="H158" s="17">
        <v>88000</v>
      </c>
      <c r="I158" s="17">
        <v>0</v>
      </c>
      <c r="J158" s="17">
        <v>0</v>
      </c>
      <c r="K158" s="8">
        <v>20000</v>
      </c>
      <c r="L158" s="8"/>
      <c r="M158" s="17"/>
      <c r="N158" s="8">
        <f t="shared" si="26"/>
        <v>20000</v>
      </c>
      <c r="O158" s="17">
        <f t="shared" si="27"/>
        <v>20000</v>
      </c>
      <c r="P158" s="21">
        <v>0</v>
      </c>
      <c r="Q158" s="21">
        <v>0</v>
      </c>
    </row>
    <row r="159" spans="1:17" s="183" customFormat="1" ht="15.75" customHeight="1">
      <c r="A159" s="27"/>
      <c r="B159" s="28" t="s">
        <v>277</v>
      </c>
      <c r="C159" s="301" t="s">
        <v>397</v>
      </c>
      <c r="D159" s="8"/>
      <c r="E159" s="17">
        <v>25000</v>
      </c>
      <c r="F159" s="17">
        <v>0</v>
      </c>
      <c r="G159" s="17">
        <v>5100</v>
      </c>
      <c r="H159" s="17">
        <v>17000</v>
      </c>
      <c r="I159" s="17">
        <v>0</v>
      </c>
      <c r="J159" s="17">
        <v>0</v>
      </c>
      <c r="K159" s="8">
        <v>18000</v>
      </c>
      <c r="L159" s="8"/>
      <c r="M159" s="17"/>
      <c r="N159" s="8">
        <f t="shared" si="26"/>
        <v>18000</v>
      </c>
      <c r="O159" s="17">
        <f t="shared" si="27"/>
        <v>18000</v>
      </c>
      <c r="P159" s="21">
        <v>0</v>
      </c>
      <c r="Q159" s="21">
        <v>0</v>
      </c>
    </row>
    <row r="160" spans="1:17" s="183" customFormat="1" ht="17.25" customHeight="1">
      <c r="A160" s="27"/>
      <c r="B160" s="28" t="s">
        <v>279</v>
      </c>
      <c r="C160" s="301" t="s">
        <v>398</v>
      </c>
      <c r="D160" s="8"/>
      <c r="E160" s="17">
        <v>10000</v>
      </c>
      <c r="F160" s="17">
        <v>5000</v>
      </c>
      <c r="G160" s="17">
        <v>0</v>
      </c>
      <c r="H160" s="17">
        <v>43545</v>
      </c>
      <c r="I160" s="17">
        <v>0</v>
      </c>
      <c r="J160" s="17">
        <v>0</v>
      </c>
      <c r="K160" s="8">
        <v>12000</v>
      </c>
      <c r="L160" s="8"/>
      <c r="M160" s="17"/>
      <c r="N160" s="8">
        <f t="shared" si="26"/>
        <v>12000</v>
      </c>
      <c r="O160" s="17">
        <f t="shared" si="27"/>
        <v>12000</v>
      </c>
      <c r="P160" s="21">
        <v>0</v>
      </c>
      <c r="Q160" s="21">
        <v>0</v>
      </c>
    </row>
    <row r="161" spans="1:17" s="183" customFormat="1" ht="17.25" customHeight="1">
      <c r="A161" s="27"/>
      <c r="B161" s="28" t="s">
        <v>349</v>
      </c>
      <c r="C161" s="301" t="s">
        <v>350</v>
      </c>
      <c r="D161" s="8"/>
      <c r="E161" s="17"/>
      <c r="F161" s="17"/>
      <c r="G161" s="17"/>
      <c r="H161" s="17"/>
      <c r="I161" s="17"/>
      <c r="J161" s="17"/>
      <c r="K161" s="8">
        <v>14520</v>
      </c>
      <c r="L161" s="8"/>
      <c r="M161" s="17"/>
      <c r="N161" s="8">
        <f t="shared" si="26"/>
        <v>14520</v>
      </c>
      <c r="O161" s="17">
        <f t="shared" si="27"/>
        <v>14520</v>
      </c>
      <c r="P161" s="21">
        <v>0</v>
      </c>
      <c r="Q161" s="21">
        <v>0</v>
      </c>
    </row>
    <row r="162" spans="1:17" s="183" customFormat="1" ht="17.25" customHeight="1">
      <c r="A162" s="27"/>
      <c r="B162" s="28" t="s">
        <v>281</v>
      </c>
      <c r="C162" s="301" t="s">
        <v>399</v>
      </c>
      <c r="D162" s="8"/>
      <c r="E162" s="17">
        <v>58800</v>
      </c>
      <c r="F162" s="17">
        <v>10000</v>
      </c>
      <c r="G162" s="17">
        <v>0</v>
      </c>
      <c r="H162" s="17">
        <v>56000</v>
      </c>
      <c r="I162" s="17">
        <v>0</v>
      </c>
      <c r="J162" s="17">
        <v>0</v>
      </c>
      <c r="K162" s="8">
        <v>50000</v>
      </c>
      <c r="L162" s="8">
        <v>0</v>
      </c>
      <c r="M162" s="17">
        <v>5000</v>
      </c>
      <c r="N162" s="8">
        <f t="shared" si="26"/>
        <v>45000</v>
      </c>
      <c r="O162" s="17">
        <f>N162-P162</f>
        <v>45000</v>
      </c>
      <c r="P162" s="21">
        <v>0</v>
      </c>
      <c r="Q162" s="21">
        <v>0</v>
      </c>
    </row>
    <row r="163" spans="1:17" s="183" customFormat="1" ht="18" customHeight="1">
      <c r="A163" s="27"/>
      <c r="B163" s="28" t="s">
        <v>283</v>
      </c>
      <c r="C163" s="301" t="s">
        <v>284</v>
      </c>
      <c r="D163" s="8"/>
      <c r="E163" s="17">
        <v>25000</v>
      </c>
      <c r="F163" s="17">
        <v>0</v>
      </c>
      <c r="G163" s="17">
        <v>17000</v>
      </c>
      <c r="H163" s="17">
        <v>8000</v>
      </c>
      <c r="I163" s="17">
        <v>0</v>
      </c>
      <c r="J163" s="17">
        <v>0</v>
      </c>
      <c r="K163" s="8">
        <v>7000</v>
      </c>
      <c r="L163" s="8"/>
      <c r="M163" s="17"/>
      <c r="N163" s="8">
        <f t="shared" si="26"/>
        <v>7000</v>
      </c>
      <c r="O163" s="17">
        <f t="shared" si="27"/>
        <v>7000</v>
      </c>
      <c r="P163" s="21">
        <v>0</v>
      </c>
      <c r="Q163" s="21">
        <v>0</v>
      </c>
    </row>
    <row r="164" spans="1:17" s="183" customFormat="1" ht="18" customHeight="1">
      <c r="A164" s="27"/>
      <c r="B164" s="28" t="s">
        <v>285</v>
      </c>
      <c r="C164" s="301" t="s">
        <v>286</v>
      </c>
      <c r="D164" s="8"/>
      <c r="E164" s="17">
        <v>0</v>
      </c>
      <c r="F164" s="17"/>
      <c r="G164" s="17"/>
      <c r="H164" s="17">
        <v>7000</v>
      </c>
      <c r="I164" s="17">
        <v>0</v>
      </c>
      <c r="J164" s="17">
        <v>0</v>
      </c>
      <c r="K164" s="8">
        <v>8000</v>
      </c>
      <c r="L164" s="8"/>
      <c r="M164" s="17"/>
      <c r="N164" s="8">
        <f t="shared" si="26"/>
        <v>8000</v>
      </c>
      <c r="O164" s="17">
        <f t="shared" si="27"/>
        <v>8000</v>
      </c>
      <c r="P164" s="21">
        <v>0</v>
      </c>
      <c r="Q164" s="21">
        <v>0</v>
      </c>
    </row>
    <row r="165" spans="1:17" s="183" customFormat="1" ht="18" customHeight="1">
      <c r="A165" s="27"/>
      <c r="B165" s="28" t="s">
        <v>287</v>
      </c>
      <c r="C165" s="301" t="s">
        <v>288</v>
      </c>
      <c r="D165" s="8"/>
      <c r="E165" s="17">
        <v>2000</v>
      </c>
      <c r="F165" s="17">
        <v>0</v>
      </c>
      <c r="G165" s="17">
        <v>1173</v>
      </c>
      <c r="H165" s="17">
        <v>676</v>
      </c>
      <c r="I165" s="17">
        <v>0</v>
      </c>
      <c r="J165" s="17">
        <v>0</v>
      </c>
      <c r="K165" s="8">
        <v>1000</v>
      </c>
      <c r="L165" s="8"/>
      <c r="M165" s="17"/>
      <c r="N165" s="8">
        <f t="shared" si="26"/>
        <v>1000</v>
      </c>
      <c r="O165" s="17">
        <f t="shared" si="27"/>
        <v>1000</v>
      </c>
      <c r="P165" s="21">
        <v>0</v>
      </c>
      <c r="Q165" s="21">
        <v>0</v>
      </c>
    </row>
    <row r="166" spans="1:17" s="183" customFormat="1" ht="18.75" customHeight="1">
      <c r="A166" s="27"/>
      <c r="B166" s="28" t="s">
        <v>348</v>
      </c>
      <c r="C166" s="301" t="s">
        <v>382</v>
      </c>
      <c r="D166" s="8">
        <v>62500</v>
      </c>
      <c r="E166" s="17">
        <v>160</v>
      </c>
      <c r="F166" s="17">
        <v>0</v>
      </c>
      <c r="G166" s="17">
        <v>0</v>
      </c>
      <c r="H166" s="17">
        <v>160</v>
      </c>
      <c r="I166" s="17">
        <v>0</v>
      </c>
      <c r="J166" s="17">
        <v>0</v>
      </c>
      <c r="K166" s="8">
        <v>10500</v>
      </c>
      <c r="L166" s="8"/>
      <c r="M166" s="17"/>
      <c r="N166" s="8">
        <f t="shared" si="26"/>
        <v>10500</v>
      </c>
      <c r="O166" s="17">
        <f t="shared" si="27"/>
        <v>10500</v>
      </c>
      <c r="P166" s="21">
        <v>0</v>
      </c>
      <c r="Q166" s="21">
        <v>0</v>
      </c>
    </row>
    <row r="167" spans="1:17" s="183" customFormat="1" ht="20.25" customHeight="1">
      <c r="A167" s="27"/>
      <c r="B167" s="28" t="s">
        <v>402</v>
      </c>
      <c r="C167" s="301" t="s">
        <v>690</v>
      </c>
      <c r="D167" s="8"/>
      <c r="E167" s="17"/>
      <c r="F167" s="17"/>
      <c r="G167" s="17"/>
      <c r="H167" s="17"/>
      <c r="I167" s="17"/>
      <c r="J167" s="17"/>
      <c r="K167" s="8">
        <v>160</v>
      </c>
      <c r="L167" s="8"/>
      <c r="M167" s="17"/>
      <c r="N167" s="8">
        <f t="shared" si="26"/>
        <v>160</v>
      </c>
      <c r="O167" s="17">
        <f t="shared" si="27"/>
        <v>160</v>
      </c>
      <c r="P167" s="21">
        <v>0</v>
      </c>
      <c r="Q167" s="21">
        <v>0</v>
      </c>
    </row>
    <row r="168" spans="1:17" s="183" customFormat="1" ht="20.25" customHeight="1">
      <c r="A168" s="27"/>
      <c r="B168" s="28" t="s">
        <v>307</v>
      </c>
      <c r="C168" s="301" t="s">
        <v>181</v>
      </c>
      <c r="D168" s="8"/>
      <c r="E168" s="17"/>
      <c r="F168" s="17"/>
      <c r="G168" s="17"/>
      <c r="H168" s="17"/>
      <c r="I168" s="17"/>
      <c r="J168" s="17"/>
      <c r="K168" s="8">
        <v>20000</v>
      </c>
      <c r="L168" s="8">
        <v>0</v>
      </c>
      <c r="M168" s="17"/>
      <c r="N168" s="8">
        <f t="shared" si="26"/>
        <v>20000</v>
      </c>
      <c r="O168" s="17"/>
      <c r="P168" s="21">
        <f>N168</f>
        <v>20000</v>
      </c>
      <c r="Q168" s="21"/>
    </row>
    <row r="169" spans="1:17" s="183" customFormat="1" ht="21.75" customHeight="1">
      <c r="A169" s="196" t="s">
        <v>687</v>
      </c>
      <c r="B169" s="207"/>
      <c r="C169" s="197" t="s">
        <v>465</v>
      </c>
      <c r="D169" s="169"/>
      <c r="E169" s="169"/>
      <c r="F169" s="169"/>
      <c r="G169" s="169"/>
      <c r="H169" s="169"/>
      <c r="I169" s="169"/>
      <c r="J169" s="169"/>
      <c r="K169" s="169">
        <f>SUM(K170:K171)</f>
        <v>3000</v>
      </c>
      <c r="L169" s="169">
        <f>SUM(L170:L171)</f>
        <v>0</v>
      </c>
      <c r="M169" s="169">
        <f>SUM(M170:M171)</f>
        <v>0</v>
      </c>
      <c r="N169" s="169">
        <f t="shared" si="26"/>
        <v>3000</v>
      </c>
      <c r="O169" s="169">
        <f t="shared" si="27"/>
        <v>3000</v>
      </c>
      <c r="P169" s="216">
        <f>SUM(P170:P171)</f>
        <v>0</v>
      </c>
      <c r="Q169" s="216">
        <f>SUM(Q170:Q171)</f>
        <v>0</v>
      </c>
    </row>
    <row r="170" spans="1:17" s="183" customFormat="1" ht="21.75" customHeight="1">
      <c r="A170" s="14"/>
      <c r="B170" s="28" t="s">
        <v>275</v>
      </c>
      <c r="C170" s="301" t="s">
        <v>276</v>
      </c>
      <c r="D170" s="7"/>
      <c r="E170" s="7"/>
      <c r="F170" s="7"/>
      <c r="G170" s="7"/>
      <c r="H170" s="7"/>
      <c r="I170" s="7"/>
      <c r="J170" s="7"/>
      <c r="K170" s="17">
        <v>1400</v>
      </c>
      <c r="L170" s="17"/>
      <c r="M170" s="7"/>
      <c r="N170" s="8">
        <f t="shared" si="26"/>
        <v>1400</v>
      </c>
      <c r="O170" s="17">
        <f t="shared" si="27"/>
        <v>1400</v>
      </c>
      <c r="P170" s="18">
        <v>0</v>
      </c>
      <c r="Q170" s="18">
        <v>0</v>
      </c>
    </row>
    <row r="171" spans="1:17" s="183" customFormat="1" ht="23.25" customHeight="1">
      <c r="A171" s="14"/>
      <c r="B171" s="28" t="s">
        <v>281</v>
      </c>
      <c r="C171" s="301" t="s">
        <v>252</v>
      </c>
      <c r="D171" s="7"/>
      <c r="E171" s="7"/>
      <c r="F171" s="7"/>
      <c r="G171" s="7"/>
      <c r="H171" s="7"/>
      <c r="I171" s="7"/>
      <c r="J171" s="7"/>
      <c r="K171" s="17">
        <v>1600</v>
      </c>
      <c r="L171" s="17"/>
      <c r="M171" s="7"/>
      <c r="N171" s="8">
        <f t="shared" si="26"/>
        <v>1600</v>
      </c>
      <c r="O171" s="17">
        <f t="shared" si="27"/>
        <v>1600</v>
      </c>
      <c r="P171" s="18">
        <v>0</v>
      </c>
      <c r="Q171" s="18">
        <v>0</v>
      </c>
    </row>
    <row r="172" spans="1:17" s="183" customFormat="1" ht="31.5" customHeight="1">
      <c r="A172" s="173" t="s">
        <v>413</v>
      </c>
      <c r="B172" s="177"/>
      <c r="C172" s="179" t="s">
        <v>756</v>
      </c>
      <c r="D172" s="174" t="e">
        <f>D173+#REF!</f>
        <v>#REF!</v>
      </c>
      <c r="E172" s="174" t="e">
        <f>E173+#REF!</f>
        <v>#REF!</v>
      </c>
      <c r="F172" s="174" t="e">
        <f>F173+#REF!</f>
        <v>#REF!</v>
      </c>
      <c r="G172" s="174" t="e">
        <f>G173+#REF!</f>
        <v>#REF!</v>
      </c>
      <c r="H172" s="174" t="e">
        <f>H173+#REF!</f>
        <v>#REF!</v>
      </c>
      <c r="I172" s="174" t="e">
        <f>I173+#REF!</f>
        <v>#REF!</v>
      </c>
      <c r="J172" s="174" t="e">
        <f>J173+#REF!</f>
        <v>#REF!</v>
      </c>
      <c r="K172" s="174">
        <f>K173+K175</f>
        <v>780893</v>
      </c>
      <c r="L172" s="174">
        <f>L173+L175</f>
        <v>0</v>
      </c>
      <c r="M172" s="174">
        <f>M173+M175</f>
        <v>74800</v>
      </c>
      <c r="N172" s="174">
        <f t="shared" si="26"/>
        <v>706093</v>
      </c>
      <c r="O172" s="174">
        <f>O173</f>
        <v>0</v>
      </c>
      <c r="P172" s="176">
        <f>P173</f>
        <v>706093</v>
      </c>
      <c r="Q172" s="176">
        <f>Q173</f>
        <v>0</v>
      </c>
    </row>
    <row r="173" spans="1:17" s="183" customFormat="1" ht="27" customHeight="1">
      <c r="A173" s="196" t="s">
        <v>414</v>
      </c>
      <c r="B173" s="207"/>
      <c r="C173" s="197" t="s">
        <v>415</v>
      </c>
      <c r="D173" s="169">
        <f>D174</f>
        <v>2700</v>
      </c>
      <c r="E173" s="169">
        <f>E174</f>
        <v>360000</v>
      </c>
      <c r="F173" s="169">
        <f>F174</f>
        <v>0</v>
      </c>
      <c r="G173" s="169">
        <f>G174</f>
        <v>0</v>
      </c>
      <c r="H173" s="169">
        <f>H174+H175</f>
        <v>496142</v>
      </c>
      <c r="I173" s="169">
        <f>I174+I175</f>
        <v>0</v>
      </c>
      <c r="J173" s="169">
        <f>J174+J175</f>
        <v>0</v>
      </c>
      <c r="K173" s="169">
        <f>K174</f>
        <v>600000</v>
      </c>
      <c r="L173" s="169">
        <f>L174</f>
        <v>0</v>
      </c>
      <c r="M173" s="169">
        <f>M174</f>
        <v>74800</v>
      </c>
      <c r="N173" s="307">
        <f t="shared" si="26"/>
        <v>525200</v>
      </c>
      <c r="O173" s="169">
        <f>O174+O175</f>
        <v>0</v>
      </c>
      <c r="P173" s="169">
        <f>P174+P175</f>
        <v>706093</v>
      </c>
      <c r="Q173" s="169">
        <f>Q174+Q175</f>
        <v>0</v>
      </c>
    </row>
    <row r="174" spans="1:17" s="183" customFormat="1" ht="14.25" customHeight="1">
      <c r="A174" s="27"/>
      <c r="B174" s="28" t="s">
        <v>416</v>
      </c>
      <c r="C174" s="301" t="s">
        <v>231</v>
      </c>
      <c r="D174" s="8">
        <v>2700</v>
      </c>
      <c r="E174" s="17">
        <v>360000</v>
      </c>
      <c r="F174" s="17">
        <v>0</v>
      </c>
      <c r="G174" s="17">
        <v>0</v>
      </c>
      <c r="H174" s="17">
        <v>463742</v>
      </c>
      <c r="I174" s="17">
        <v>0</v>
      </c>
      <c r="J174" s="17">
        <v>0</v>
      </c>
      <c r="K174" s="8">
        <v>600000</v>
      </c>
      <c r="L174" s="8"/>
      <c r="M174" s="17">
        <v>74800</v>
      </c>
      <c r="N174" s="8">
        <f t="shared" si="26"/>
        <v>525200</v>
      </c>
      <c r="O174" s="17">
        <v>0</v>
      </c>
      <c r="P174" s="21">
        <f>N174</f>
        <v>525200</v>
      </c>
      <c r="Q174" s="21">
        <v>0</v>
      </c>
    </row>
    <row r="175" spans="1:17" s="182" customFormat="1" ht="52.5" customHeight="1">
      <c r="A175" s="196" t="s">
        <v>417</v>
      </c>
      <c r="B175" s="207"/>
      <c r="C175" s="197" t="s">
        <v>564</v>
      </c>
      <c r="D175" s="169">
        <v>0</v>
      </c>
      <c r="E175" s="169">
        <v>390000</v>
      </c>
      <c r="F175" s="169">
        <v>0</v>
      </c>
      <c r="G175" s="169">
        <v>0</v>
      </c>
      <c r="H175" s="169">
        <v>32400</v>
      </c>
      <c r="I175" s="169">
        <v>0</v>
      </c>
      <c r="J175" s="169">
        <v>0</v>
      </c>
      <c r="K175" s="169">
        <f>K176+K177</f>
        <v>180893</v>
      </c>
      <c r="L175" s="169">
        <f>L176+L177</f>
        <v>0</v>
      </c>
      <c r="M175" s="169">
        <f>M176+M177</f>
        <v>0</v>
      </c>
      <c r="N175" s="307">
        <f t="shared" si="26"/>
        <v>180893</v>
      </c>
      <c r="O175" s="169">
        <f aca="true" t="shared" si="28" ref="O175:Q176">O176+O177</f>
        <v>0</v>
      </c>
      <c r="P175" s="169">
        <f t="shared" si="28"/>
        <v>180893</v>
      </c>
      <c r="Q175" s="169">
        <f t="shared" si="28"/>
        <v>0</v>
      </c>
    </row>
    <row r="176" spans="1:17" s="182" customFormat="1" ht="20.25" customHeight="1">
      <c r="A176" s="27"/>
      <c r="B176" s="28" t="s">
        <v>418</v>
      </c>
      <c r="C176" s="301" t="s">
        <v>20</v>
      </c>
      <c r="D176" s="17"/>
      <c r="E176" s="17"/>
      <c r="F176" s="17"/>
      <c r="G176" s="17"/>
      <c r="H176" s="17"/>
      <c r="I176" s="17"/>
      <c r="J176" s="17"/>
      <c r="K176" s="17">
        <v>73217</v>
      </c>
      <c r="L176" s="17"/>
      <c r="M176" s="17"/>
      <c r="N176" s="8">
        <f t="shared" si="26"/>
        <v>73217</v>
      </c>
      <c r="O176" s="7">
        <f t="shared" si="28"/>
        <v>0</v>
      </c>
      <c r="P176" s="17">
        <f>N176</f>
        <v>73217</v>
      </c>
      <c r="Q176" s="17"/>
    </row>
    <row r="177" spans="1:17" s="183" customFormat="1" ht="20.25" customHeight="1">
      <c r="A177" s="27"/>
      <c r="B177" s="28" t="s">
        <v>418</v>
      </c>
      <c r="C177" s="301" t="s">
        <v>20</v>
      </c>
      <c r="D177" s="8"/>
      <c r="E177" s="17"/>
      <c r="F177" s="17"/>
      <c r="G177" s="17"/>
      <c r="H177" s="17"/>
      <c r="I177" s="17"/>
      <c r="J177" s="17"/>
      <c r="K177" s="17">
        <v>107676</v>
      </c>
      <c r="L177" s="17"/>
      <c r="M177" s="17"/>
      <c r="N177" s="8">
        <f aca="true" t="shared" si="29" ref="N177:N233">K177+L177-M177</f>
        <v>107676</v>
      </c>
      <c r="O177" s="17">
        <v>0</v>
      </c>
      <c r="P177" s="17">
        <f>N177</f>
        <v>107676</v>
      </c>
      <c r="Q177" s="18">
        <v>0</v>
      </c>
    </row>
    <row r="178" spans="1:17" s="183" customFormat="1" ht="16.5" customHeight="1">
      <c r="A178" s="173" t="s">
        <v>419</v>
      </c>
      <c r="B178" s="177"/>
      <c r="C178" s="179" t="s">
        <v>420</v>
      </c>
      <c r="D178" s="174" t="e">
        <f aca="true" t="shared" si="30" ref="D178:Q178">D179</f>
        <v>#REF!</v>
      </c>
      <c r="E178" s="174" t="e">
        <f t="shared" si="30"/>
        <v>#REF!</v>
      </c>
      <c r="F178" s="174">
        <f t="shared" si="30"/>
        <v>0</v>
      </c>
      <c r="G178" s="174">
        <f t="shared" si="30"/>
        <v>0</v>
      </c>
      <c r="H178" s="174">
        <f aca="true" t="shared" si="31" ref="H178:M178">H179</f>
        <v>53260</v>
      </c>
      <c r="I178" s="174">
        <f t="shared" si="31"/>
        <v>0</v>
      </c>
      <c r="J178" s="174">
        <f t="shared" si="31"/>
        <v>0</v>
      </c>
      <c r="K178" s="174">
        <f t="shared" si="31"/>
        <v>296070</v>
      </c>
      <c r="L178" s="174">
        <f t="shared" si="31"/>
        <v>0</v>
      </c>
      <c r="M178" s="174">
        <f t="shared" si="31"/>
        <v>0</v>
      </c>
      <c r="N178" s="174">
        <f t="shared" si="29"/>
        <v>296070</v>
      </c>
      <c r="O178" s="174">
        <f t="shared" si="30"/>
        <v>0</v>
      </c>
      <c r="P178" s="176">
        <f t="shared" si="30"/>
        <v>296070</v>
      </c>
      <c r="Q178" s="176">
        <f t="shared" si="30"/>
        <v>0</v>
      </c>
    </row>
    <row r="179" spans="1:17" s="183" customFormat="1" ht="15" customHeight="1">
      <c r="A179" s="196" t="s">
        <v>421</v>
      </c>
      <c r="B179" s="207"/>
      <c r="C179" s="197" t="s">
        <v>422</v>
      </c>
      <c r="D179" s="169" t="e">
        <f>D180+D181+#REF!</f>
        <v>#REF!</v>
      </c>
      <c r="E179" s="169" t="e">
        <f>E180+E181+#REF!</f>
        <v>#REF!</v>
      </c>
      <c r="F179" s="169">
        <f aca="true" t="shared" si="32" ref="F179:Q179">F180+F181</f>
        <v>0</v>
      </c>
      <c r="G179" s="169">
        <f t="shared" si="32"/>
        <v>0</v>
      </c>
      <c r="H179" s="169">
        <f t="shared" si="32"/>
        <v>53260</v>
      </c>
      <c r="I179" s="169">
        <f t="shared" si="32"/>
        <v>0</v>
      </c>
      <c r="J179" s="169">
        <f t="shared" si="32"/>
        <v>0</v>
      </c>
      <c r="K179" s="169">
        <f>K180+K181</f>
        <v>296070</v>
      </c>
      <c r="L179" s="169">
        <f>L180+L181</f>
        <v>0</v>
      </c>
      <c r="M179" s="169">
        <f>M180+M181</f>
        <v>0</v>
      </c>
      <c r="N179" s="307">
        <f t="shared" si="29"/>
        <v>296070</v>
      </c>
      <c r="O179" s="169">
        <f t="shared" si="32"/>
        <v>0</v>
      </c>
      <c r="P179" s="169">
        <f t="shared" si="32"/>
        <v>296070</v>
      </c>
      <c r="Q179" s="167">
        <f t="shared" si="32"/>
        <v>0</v>
      </c>
    </row>
    <row r="180" spans="1:17" s="183" customFormat="1" ht="17.25" customHeight="1">
      <c r="A180" s="27"/>
      <c r="B180" s="28" t="s">
        <v>423</v>
      </c>
      <c r="C180" s="301" t="s">
        <v>424</v>
      </c>
      <c r="D180" s="8">
        <v>0</v>
      </c>
      <c r="E180" s="17">
        <v>0</v>
      </c>
      <c r="F180" s="17">
        <v>0</v>
      </c>
      <c r="G180" s="17">
        <v>0</v>
      </c>
      <c r="H180" s="8">
        <v>18000</v>
      </c>
      <c r="I180" s="8"/>
      <c r="J180" s="8">
        <v>0</v>
      </c>
      <c r="K180" s="8">
        <v>0</v>
      </c>
      <c r="L180" s="8"/>
      <c r="M180" s="8"/>
      <c r="N180" s="8">
        <f t="shared" si="29"/>
        <v>0</v>
      </c>
      <c r="O180" s="17">
        <v>0</v>
      </c>
      <c r="P180" s="21">
        <f>K180</f>
        <v>0</v>
      </c>
      <c r="Q180" s="21">
        <v>0</v>
      </c>
    </row>
    <row r="181" spans="1:17" s="183" customFormat="1" ht="17.25" customHeight="1">
      <c r="A181" s="27"/>
      <c r="B181" s="28" t="s">
        <v>423</v>
      </c>
      <c r="C181" s="301" t="s">
        <v>425</v>
      </c>
      <c r="D181" s="8">
        <v>0</v>
      </c>
      <c r="E181" s="17">
        <v>0</v>
      </c>
      <c r="F181" s="17">
        <v>0</v>
      </c>
      <c r="G181" s="17">
        <v>0</v>
      </c>
      <c r="H181" s="8">
        <v>35260</v>
      </c>
      <c r="I181" s="8">
        <v>0</v>
      </c>
      <c r="J181" s="8">
        <v>0</v>
      </c>
      <c r="K181" s="8">
        <v>296070</v>
      </c>
      <c r="L181" s="8"/>
      <c r="M181" s="8">
        <v>0</v>
      </c>
      <c r="N181" s="8">
        <f t="shared" si="29"/>
        <v>296070</v>
      </c>
      <c r="O181" s="17">
        <v>0</v>
      </c>
      <c r="P181" s="21">
        <f>N181</f>
        <v>296070</v>
      </c>
      <c r="Q181" s="21">
        <v>0</v>
      </c>
    </row>
    <row r="182" spans="1:17" s="183" customFormat="1" ht="16.5" customHeight="1">
      <c r="A182" s="173" t="s">
        <v>426</v>
      </c>
      <c r="B182" s="177"/>
      <c r="C182" s="179" t="s">
        <v>427</v>
      </c>
      <c r="D182" s="174" t="e">
        <f>D183+D199+D210+#REF!+D239+#REF!+D264+#REF!</f>
        <v>#REF!</v>
      </c>
      <c r="E182" s="174" t="e">
        <f>E183+E199+E210+#REF!+E239+#REF!+E264+#REF!+#REF!+E277+E274+#REF!</f>
        <v>#REF!</v>
      </c>
      <c r="F182" s="174" t="e">
        <f>F183+F199+F210+F239+#REF!+#REF!+F264+#REF!+F274+F277+#REF!+#REF!</f>
        <v>#REF!</v>
      </c>
      <c r="G182" s="174" t="e">
        <f>G183+G199+G210+G239+#REF!+#REF!+G264+#REF!+G274+G277+#REF!+#REF!</f>
        <v>#REF!</v>
      </c>
      <c r="H182" s="174" t="e">
        <f>H183+H197+H199+H210+H230+H239+H264+H274+H277+#REF!</f>
        <v>#REF!</v>
      </c>
      <c r="I182" s="174" t="e">
        <f>I183+I197+I199+I210+I230+I239+I264+I274+I277+#REF!</f>
        <v>#REF!</v>
      </c>
      <c r="J182" s="174" t="e">
        <f>J183+J197+J199+J210+J230+J239+J264+J274+J277+#REF!</f>
        <v>#REF!</v>
      </c>
      <c r="K182" s="174">
        <f>K183+K197+K199+K210+K230+K239+K264+K274+K277+K285</f>
        <v>10447808</v>
      </c>
      <c r="L182" s="174">
        <f>L183+L197+L199+L210+L230+L239+L264+L274+L277+L285</f>
        <v>33083</v>
      </c>
      <c r="M182" s="174">
        <f>M183+M197+M199+M210+M230+M239+M264+M274+M277+M285</f>
        <v>2943</v>
      </c>
      <c r="N182" s="174">
        <f t="shared" si="29"/>
        <v>10477948</v>
      </c>
      <c r="O182" s="174">
        <f>O183+O197+O199+O210+O230+O239+O264+O274+O277</f>
        <v>0</v>
      </c>
      <c r="P182" s="174">
        <f>P183+P197+P199+P210+P230+P239+P264+P274+P277+P285</f>
        <v>10465948</v>
      </c>
      <c r="Q182" s="174">
        <f>Q183+Q197+Q199+Q210+Q230+Q239+Q264+Q274+Q277</f>
        <v>12000</v>
      </c>
    </row>
    <row r="183" spans="1:17" s="183" customFormat="1" ht="16.5" customHeight="1">
      <c r="A183" s="196" t="s">
        <v>428</v>
      </c>
      <c r="B183" s="207"/>
      <c r="C183" s="197" t="s">
        <v>429</v>
      </c>
      <c r="D183" s="169" t="e">
        <f>D185+D186+D187+#REF!</f>
        <v>#REF!</v>
      </c>
      <c r="E183" s="169" t="e">
        <f>E185+E186+E187+E188+E184+E190+#REF!+E191+#REF!+E193+E194+E195</f>
        <v>#REF!</v>
      </c>
      <c r="F183" s="169" t="e">
        <f>F185+F186+F187+F188+F184+F190+#REF!+F191+#REF!+F193+F194+F195</f>
        <v>#REF!</v>
      </c>
      <c r="G183" s="169" t="e">
        <f>G185+G186+G187+G188+G184+G190+#REF!+G191+#REF!+G193+G194+G195</f>
        <v>#REF!</v>
      </c>
      <c r="H183" s="169" t="e">
        <f>H185+H186+H187+H188+H190+H191+H193+H194+H195+H196+#REF!</f>
        <v>#REF!</v>
      </c>
      <c r="I183" s="169" t="e">
        <f>I185+I186+I187+I188+I190+I191+I193+I194+I195+I196+#REF!</f>
        <v>#REF!</v>
      </c>
      <c r="J183" s="169" t="e">
        <f>J185+J186+J187+J188+J190+J191+J193+J194+J195+J196+#REF!</f>
        <v>#REF!</v>
      </c>
      <c r="K183" s="169">
        <f>K185+K186+K187+K188+K189+K190+K191+K192+K193+K194+K195+K196+K184</f>
        <v>904885</v>
      </c>
      <c r="L183" s="169">
        <f>L185+L186+L187+L188+L189+L190+L191+L192+L193+L194+L195+L196+L184</f>
        <v>0</v>
      </c>
      <c r="M183" s="169">
        <f>M185+M186+M187+M188+M189+M190+M191+M192+M193+M194+M195+M196+M184</f>
        <v>0</v>
      </c>
      <c r="N183" s="449">
        <f t="shared" si="29"/>
        <v>904885</v>
      </c>
      <c r="O183" s="169">
        <f>O185+O186+O187+O188+O189+O190+O191+O192+O193+O194+O195+O196+O184</f>
        <v>0</v>
      </c>
      <c r="P183" s="169">
        <f>P185+P186+P187+P188+P189+P190+P191+P192+P193+P194+P195+P196+P184</f>
        <v>904885</v>
      </c>
      <c r="Q183" s="169">
        <f>Q185+Q186+Q187+Q188+Q189+Q190+Q191+Q192+Q193+Q194+Q195+Q196+Q184</f>
        <v>0</v>
      </c>
    </row>
    <row r="184" spans="1:17" s="183" customFormat="1" ht="18" customHeight="1">
      <c r="A184" s="14"/>
      <c r="B184" s="22" t="s">
        <v>248</v>
      </c>
      <c r="C184" s="301" t="s">
        <v>19</v>
      </c>
      <c r="D184" s="8"/>
      <c r="E184" s="8">
        <v>1974</v>
      </c>
      <c r="F184" s="8">
        <v>0</v>
      </c>
      <c r="G184" s="8">
        <v>0</v>
      </c>
      <c r="H184" s="8"/>
      <c r="I184" s="8"/>
      <c r="J184" s="8"/>
      <c r="K184" s="8">
        <v>0</v>
      </c>
      <c r="L184" s="8"/>
      <c r="M184" s="8"/>
      <c r="N184" s="8">
        <f t="shared" si="29"/>
        <v>0</v>
      </c>
      <c r="O184" s="8">
        <v>0</v>
      </c>
      <c r="P184" s="21">
        <f>N184</f>
        <v>0</v>
      </c>
      <c r="Q184" s="21">
        <v>0</v>
      </c>
    </row>
    <row r="185" spans="1:17" s="183" customFormat="1" ht="16.5" customHeight="1">
      <c r="A185" s="14"/>
      <c r="B185" s="15" t="s">
        <v>265</v>
      </c>
      <c r="C185" s="301" t="s">
        <v>266</v>
      </c>
      <c r="D185" s="8">
        <v>866965</v>
      </c>
      <c r="E185" s="8">
        <v>823342</v>
      </c>
      <c r="F185" s="8">
        <v>45000</v>
      </c>
      <c r="G185" s="8">
        <v>24814</v>
      </c>
      <c r="H185" s="8">
        <v>355622</v>
      </c>
      <c r="I185" s="8">
        <v>0</v>
      </c>
      <c r="J185" s="8">
        <v>0</v>
      </c>
      <c r="K185" s="8">
        <v>463273</v>
      </c>
      <c r="L185" s="8">
        <v>0</v>
      </c>
      <c r="M185" s="8"/>
      <c r="N185" s="8">
        <f t="shared" si="29"/>
        <v>463273</v>
      </c>
      <c r="O185" s="8">
        <v>0</v>
      </c>
      <c r="P185" s="21">
        <f aca="true" t="shared" si="33" ref="P185:P196">N185</f>
        <v>463273</v>
      </c>
      <c r="Q185" s="21">
        <v>0</v>
      </c>
    </row>
    <row r="186" spans="1:17" s="183" customFormat="1" ht="15.75" customHeight="1">
      <c r="A186" s="14"/>
      <c r="B186" s="15" t="s">
        <v>269</v>
      </c>
      <c r="C186" s="301" t="s">
        <v>270</v>
      </c>
      <c r="D186" s="8">
        <v>75166</v>
      </c>
      <c r="E186" s="8">
        <v>81513</v>
      </c>
      <c r="F186" s="8">
        <v>0</v>
      </c>
      <c r="G186" s="8">
        <v>0</v>
      </c>
      <c r="H186" s="8">
        <v>40794</v>
      </c>
      <c r="I186" s="8">
        <v>0</v>
      </c>
      <c r="J186" s="8">
        <v>0</v>
      </c>
      <c r="K186" s="8">
        <v>26941</v>
      </c>
      <c r="L186" s="8"/>
      <c r="M186" s="8">
        <v>0</v>
      </c>
      <c r="N186" s="8">
        <f t="shared" si="29"/>
        <v>26941</v>
      </c>
      <c r="O186" s="8">
        <v>0</v>
      </c>
      <c r="P186" s="21">
        <f t="shared" si="33"/>
        <v>26941</v>
      </c>
      <c r="Q186" s="21">
        <v>0</v>
      </c>
    </row>
    <row r="187" spans="1:17" s="183" customFormat="1" ht="15" customHeight="1">
      <c r="A187" s="14"/>
      <c r="B187" s="22" t="s">
        <v>328</v>
      </c>
      <c r="C187" s="301" t="s">
        <v>299</v>
      </c>
      <c r="D187" s="8">
        <v>205528</v>
      </c>
      <c r="E187" s="8">
        <v>158209</v>
      </c>
      <c r="F187" s="8">
        <v>8046</v>
      </c>
      <c r="G187" s="8">
        <v>4948</v>
      </c>
      <c r="H187" s="8">
        <v>70500</v>
      </c>
      <c r="I187" s="8">
        <v>0</v>
      </c>
      <c r="J187" s="8">
        <v>0</v>
      </c>
      <c r="K187" s="8">
        <v>88900</v>
      </c>
      <c r="L187" s="8"/>
      <c r="M187" s="8"/>
      <c r="N187" s="8">
        <f t="shared" si="29"/>
        <v>88900</v>
      </c>
      <c r="O187" s="8">
        <v>0</v>
      </c>
      <c r="P187" s="21">
        <f t="shared" si="33"/>
        <v>88900</v>
      </c>
      <c r="Q187" s="21">
        <v>0</v>
      </c>
    </row>
    <row r="188" spans="1:17" s="183" customFormat="1" ht="15" customHeight="1">
      <c r="A188" s="14"/>
      <c r="B188" s="22" t="s">
        <v>273</v>
      </c>
      <c r="C188" s="301" t="s">
        <v>274</v>
      </c>
      <c r="D188" s="8"/>
      <c r="E188" s="8">
        <v>21676</v>
      </c>
      <c r="F188" s="8">
        <v>1102</v>
      </c>
      <c r="G188" s="8">
        <v>680</v>
      </c>
      <c r="H188" s="8">
        <v>9660</v>
      </c>
      <c r="I188" s="8">
        <v>0</v>
      </c>
      <c r="J188" s="8">
        <v>0</v>
      </c>
      <c r="K188" s="8">
        <v>12000</v>
      </c>
      <c r="L188" s="8"/>
      <c r="M188" s="8"/>
      <c r="N188" s="8">
        <f t="shared" si="29"/>
        <v>12000</v>
      </c>
      <c r="O188" s="8">
        <v>0</v>
      </c>
      <c r="P188" s="21">
        <f t="shared" si="33"/>
        <v>12000</v>
      </c>
      <c r="Q188" s="21">
        <v>0</v>
      </c>
    </row>
    <row r="189" spans="1:17" s="183" customFormat="1" ht="15" customHeight="1">
      <c r="A189" s="14"/>
      <c r="B189" s="22" t="s">
        <v>97</v>
      </c>
      <c r="C189" s="301" t="s">
        <v>111</v>
      </c>
      <c r="D189" s="8"/>
      <c r="E189" s="8"/>
      <c r="F189" s="8"/>
      <c r="G189" s="8"/>
      <c r="H189" s="8"/>
      <c r="I189" s="8"/>
      <c r="J189" s="8"/>
      <c r="K189" s="8">
        <v>2000</v>
      </c>
      <c r="L189" s="8"/>
      <c r="M189" s="8"/>
      <c r="N189" s="8">
        <f t="shared" si="29"/>
        <v>2000</v>
      </c>
      <c r="O189" s="8">
        <v>0</v>
      </c>
      <c r="P189" s="21">
        <f t="shared" si="33"/>
        <v>2000</v>
      </c>
      <c r="Q189" s="21"/>
    </row>
    <row r="190" spans="1:17" s="183" customFormat="1" ht="16.5" customHeight="1">
      <c r="A190" s="14"/>
      <c r="B190" s="22" t="s">
        <v>275</v>
      </c>
      <c r="C190" s="301" t="s">
        <v>435</v>
      </c>
      <c r="D190" s="8"/>
      <c r="E190" s="8">
        <v>35892</v>
      </c>
      <c r="F190" s="8">
        <v>2000</v>
      </c>
      <c r="G190" s="8">
        <v>0</v>
      </c>
      <c r="H190" s="8">
        <v>22000</v>
      </c>
      <c r="I190" s="8">
        <v>0</v>
      </c>
      <c r="J190" s="8">
        <v>0</v>
      </c>
      <c r="K190" s="8">
        <v>43500</v>
      </c>
      <c r="L190" s="8"/>
      <c r="M190" s="8"/>
      <c r="N190" s="8">
        <f t="shared" si="29"/>
        <v>43500</v>
      </c>
      <c r="O190" s="8">
        <v>0</v>
      </c>
      <c r="P190" s="21">
        <f t="shared" si="33"/>
        <v>43500</v>
      </c>
      <c r="Q190" s="21">
        <v>0</v>
      </c>
    </row>
    <row r="191" spans="1:17" s="183" customFormat="1" ht="16.5" customHeight="1">
      <c r="A191" s="14"/>
      <c r="B191" s="22" t="s">
        <v>277</v>
      </c>
      <c r="C191" s="301" t="s">
        <v>397</v>
      </c>
      <c r="D191" s="8"/>
      <c r="E191" s="8">
        <v>12822</v>
      </c>
      <c r="F191" s="8">
        <v>0</v>
      </c>
      <c r="G191" s="8">
        <v>0</v>
      </c>
      <c r="H191" s="8">
        <v>8850</v>
      </c>
      <c r="I191" s="8">
        <v>0</v>
      </c>
      <c r="J191" s="8">
        <v>0</v>
      </c>
      <c r="K191" s="8">
        <v>9135</v>
      </c>
      <c r="L191" s="8"/>
      <c r="M191" s="8"/>
      <c r="N191" s="8">
        <f t="shared" si="29"/>
        <v>9135</v>
      </c>
      <c r="O191" s="8">
        <v>0</v>
      </c>
      <c r="P191" s="21">
        <f t="shared" si="33"/>
        <v>9135</v>
      </c>
      <c r="Q191" s="21">
        <v>0</v>
      </c>
    </row>
    <row r="192" spans="1:17" s="183" customFormat="1" ht="16.5" customHeight="1">
      <c r="A192" s="14"/>
      <c r="B192" s="22" t="s">
        <v>279</v>
      </c>
      <c r="C192" s="301" t="s">
        <v>280</v>
      </c>
      <c r="D192" s="8"/>
      <c r="E192" s="8"/>
      <c r="F192" s="8"/>
      <c r="G192" s="8"/>
      <c r="H192" s="8"/>
      <c r="I192" s="8"/>
      <c r="J192" s="8"/>
      <c r="K192" s="8">
        <v>0</v>
      </c>
      <c r="L192" s="8"/>
      <c r="M192" s="8"/>
      <c r="N192" s="8">
        <f t="shared" si="29"/>
        <v>0</v>
      </c>
      <c r="O192" s="8">
        <v>0</v>
      </c>
      <c r="P192" s="21">
        <f t="shared" si="33"/>
        <v>0</v>
      </c>
      <c r="Q192" s="21">
        <v>0</v>
      </c>
    </row>
    <row r="193" spans="1:17" s="183" customFormat="1" ht="16.5" customHeight="1">
      <c r="A193" s="14"/>
      <c r="B193" s="22" t="s">
        <v>281</v>
      </c>
      <c r="C193" s="301" t="s">
        <v>399</v>
      </c>
      <c r="D193" s="8"/>
      <c r="E193" s="8">
        <v>9517</v>
      </c>
      <c r="F193" s="8">
        <v>0</v>
      </c>
      <c r="G193" s="8">
        <v>0</v>
      </c>
      <c r="H193" s="8">
        <v>5400</v>
      </c>
      <c r="I193" s="8">
        <v>0</v>
      </c>
      <c r="J193" s="8">
        <v>0</v>
      </c>
      <c r="K193" s="8">
        <v>16380</v>
      </c>
      <c r="L193" s="8"/>
      <c r="M193" s="8"/>
      <c r="N193" s="8">
        <f t="shared" si="29"/>
        <v>16380</v>
      </c>
      <c r="O193" s="8">
        <v>0</v>
      </c>
      <c r="P193" s="21">
        <f t="shared" si="33"/>
        <v>16380</v>
      </c>
      <c r="Q193" s="21">
        <v>0</v>
      </c>
    </row>
    <row r="194" spans="1:17" s="183" customFormat="1" ht="15" customHeight="1">
      <c r="A194" s="14"/>
      <c r="B194" s="22" t="s">
        <v>283</v>
      </c>
      <c r="C194" s="301" t="s">
        <v>284</v>
      </c>
      <c r="D194" s="8"/>
      <c r="E194" s="8">
        <v>229</v>
      </c>
      <c r="F194" s="8">
        <v>800</v>
      </c>
      <c r="G194" s="8">
        <v>0</v>
      </c>
      <c r="H194" s="8">
        <v>200</v>
      </c>
      <c r="I194" s="8">
        <v>0</v>
      </c>
      <c r="J194" s="8">
        <v>0</v>
      </c>
      <c r="K194" s="8">
        <v>1200</v>
      </c>
      <c r="L194" s="8"/>
      <c r="M194" s="8"/>
      <c r="N194" s="8">
        <f t="shared" si="29"/>
        <v>1200</v>
      </c>
      <c r="O194" s="8">
        <v>0</v>
      </c>
      <c r="P194" s="21">
        <f t="shared" si="33"/>
        <v>1200</v>
      </c>
      <c r="Q194" s="21">
        <v>0</v>
      </c>
    </row>
    <row r="195" spans="1:17" s="183" customFormat="1" ht="17.25" customHeight="1">
      <c r="A195" s="14"/>
      <c r="B195" s="22" t="s">
        <v>287</v>
      </c>
      <c r="C195" s="301" t="s">
        <v>288</v>
      </c>
      <c r="D195" s="8"/>
      <c r="E195" s="8">
        <v>60464</v>
      </c>
      <c r="F195" s="8">
        <v>0</v>
      </c>
      <c r="G195" s="8">
        <v>0</v>
      </c>
      <c r="H195" s="8">
        <v>17534</v>
      </c>
      <c r="I195" s="8">
        <v>0</v>
      </c>
      <c r="J195" s="8">
        <v>0</v>
      </c>
      <c r="K195" s="8">
        <v>29453</v>
      </c>
      <c r="L195" s="8"/>
      <c r="M195" s="8"/>
      <c r="N195" s="8">
        <f t="shared" si="29"/>
        <v>29453</v>
      </c>
      <c r="O195" s="8">
        <v>0</v>
      </c>
      <c r="P195" s="21">
        <f t="shared" si="33"/>
        <v>29453</v>
      </c>
      <c r="Q195" s="21">
        <v>0</v>
      </c>
    </row>
    <row r="196" spans="1:17" s="183" customFormat="1" ht="21.75" customHeight="1">
      <c r="A196" s="14"/>
      <c r="B196" s="15" t="s">
        <v>439</v>
      </c>
      <c r="C196" s="129" t="s">
        <v>589</v>
      </c>
      <c r="D196" s="8"/>
      <c r="E196" s="8"/>
      <c r="F196" s="8"/>
      <c r="G196" s="8"/>
      <c r="H196" s="8">
        <v>181417</v>
      </c>
      <c r="I196" s="8">
        <v>0</v>
      </c>
      <c r="J196" s="8">
        <v>0</v>
      </c>
      <c r="K196" s="8">
        <v>212103</v>
      </c>
      <c r="L196" s="8"/>
      <c r="M196" s="8">
        <v>0</v>
      </c>
      <c r="N196" s="8">
        <f t="shared" si="29"/>
        <v>212103</v>
      </c>
      <c r="O196" s="8">
        <v>0</v>
      </c>
      <c r="P196" s="21">
        <f t="shared" si="33"/>
        <v>212103</v>
      </c>
      <c r="Q196" s="21">
        <v>0</v>
      </c>
    </row>
    <row r="197" spans="1:17" s="183" customFormat="1" ht="18.75" customHeight="1">
      <c r="A197" s="196" t="s">
        <v>588</v>
      </c>
      <c r="B197" s="207"/>
      <c r="C197" s="197" t="s">
        <v>587</v>
      </c>
      <c r="D197" s="169"/>
      <c r="E197" s="169"/>
      <c r="F197" s="169"/>
      <c r="G197" s="169"/>
      <c r="H197" s="169">
        <f aca="true" t="shared" si="34" ref="H197:Q197">H198</f>
        <v>65981</v>
      </c>
      <c r="I197" s="169">
        <f t="shared" si="34"/>
        <v>0</v>
      </c>
      <c r="J197" s="169">
        <f t="shared" si="34"/>
        <v>0</v>
      </c>
      <c r="K197" s="169">
        <f>K198</f>
        <v>111982</v>
      </c>
      <c r="L197" s="169">
        <f>L198</f>
        <v>0</v>
      </c>
      <c r="M197" s="169">
        <f>M198</f>
        <v>0</v>
      </c>
      <c r="N197" s="449">
        <f t="shared" si="29"/>
        <v>111982</v>
      </c>
      <c r="O197" s="169">
        <f t="shared" si="34"/>
        <v>0</v>
      </c>
      <c r="P197" s="169">
        <f t="shared" si="34"/>
        <v>111982</v>
      </c>
      <c r="Q197" s="169">
        <f t="shared" si="34"/>
        <v>0</v>
      </c>
    </row>
    <row r="198" spans="1:17" s="183" customFormat="1" ht="21" customHeight="1">
      <c r="A198" s="14"/>
      <c r="B198" s="15" t="s">
        <v>439</v>
      </c>
      <c r="C198" s="129" t="s">
        <v>589</v>
      </c>
      <c r="D198" s="8"/>
      <c r="E198" s="8"/>
      <c r="F198" s="8"/>
      <c r="G198" s="8"/>
      <c r="H198" s="8">
        <v>65981</v>
      </c>
      <c r="I198" s="8">
        <v>0</v>
      </c>
      <c r="J198" s="8">
        <v>0</v>
      </c>
      <c r="K198" s="8">
        <v>111982</v>
      </c>
      <c r="L198" s="8"/>
      <c r="M198" s="8"/>
      <c r="N198" s="8">
        <f t="shared" si="29"/>
        <v>111982</v>
      </c>
      <c r="O198" s="8">
        <v>0</v>
      </c>
      <c r="P198" s="21">
        <f>N198</f>
        <v>111982</v>
      </c>
      <c r="Q198" s="21">
        <v>0</v>
      </c>
    </row>
    <row r="199" spans="1:17" s="183" customFormat="1" ht="18.75" customHeight="1">
      <c r="A199" s="196" t="s">
        <v>440</v>
      </c>
      <c r="B199" s="207"/>
      <c r="C199" s="197" t="s">
        <v>442</v>
      </c>
      <c r="D199" s="169" t="e">
        <f>D200+D201+D202+#REF!</f>
        <v>#REF!</v>
      </c>
      <c r="E199" s="169" t="e">
        <f>E200+E201+E202+E203+#REF!+E204+#REF!+#REF!+E207</f>
        <v>#REF!</v>
      </c>
      <c r="F199" s="169" t="e">
        <f>F200+F201+F202+F203+#REF!+F204+#REF!+#REF!+F207</f>
        <v>#REF!</v>
      </c>
      <c r="G199" s="169" t="e">
        <f>G200+G201+G202+G203+#REF!+G204+#REF!+#REF!+G207</f>
        <v>#REF!</v>
      </c>
      <c r="H199" s="169">
        <f>H200+H201+H202+H203+H204+H207+H209+H206</f>
        <v>416271</v>
      </c>
      <c r="I199" s="169">
        <f>I200+I201+I202+I203+I204+I207+I209+I206</f>
        <v>0</v>
      </c>
      <c r="J199" s="169">
        <f>J200+J201+J202+J203+J204+J207+J209+J206</f>
        <v>0</v>
      </c>
      <c r="K199" s="169">
        <f>K200+K201+K202+K203+K204+K207+K209+K206+K205+K208</f>
        <v>923348</v>
      </c>
      <c r="L199" s="169">
        <f>L200+L201+L202+L203+L204+L207+L209+L206+L205+L208</f>
        <v>0</v>
      </c>
      <c r="M199" s="169">
        <f>M200+M201+M202+M203+M204+M207+M209+M206+M205+M208</f>
        <v>0</v>
      </c>
      <c r="N199" s="169">
        <f t="shared" si="29"/>
        <v>923348</v>
      </c>
      <c r="O199" s="169">
        <f>O200+O201+O202+O203+O204+O207+O209+O206+O205</f>
        <v>0</v>
      </c>
      <c r="P199" s="169">
        <f>P200+P201+P202+P203+P204+P205+P206+P207+P208+P209</f>
        <v>923348</v>
      </c>
      <c r="Q199" s="169">
        <f>Q200+Q201+Q202+Q203+Q204+Q207+Q209+Q206+Q205</f>
        <v>0</v>
      </c>
    </row>
    <row r="200" spans="1:17" s="183" customFormat="1" ht="18" customHeight="1">
      <c r="A200" s="14"/>
      <c r="B200" s="15" t="s">
        <v>265</v>
      </c>
      <c r="C200" s="301" t="s">
        <v>266</v>
      </c>
      <c r="D200" s="8">
        <v>212518</v>
      </c>
      <c r="E200" s="8">
        <v>225071</v>
      </c>
      <c r="F200" s="8">
        <v>24814</v>
      </c>
      <c r="G200" s="8">
        <v>0</v>
      </c>
      <c r="H200" s="8">
        <v>279732</v>
      </c>
      <c r="I200" s="8">
        <v>0</v>
      </c>
      <c r="J200" s="8">
        <v>0</v>
      </c>
      <c r="K200" s="8">
        <v>288843</v>
      </c>
      <c r="L200" s="8">
        <v>0</v>
      </c>
      <c r="M200" s="8"/>
      <c r="N200" s="8">
        <f t="shared" si="29"/>
        <v>288843</v>
      </c>
      <c r="O200" s="8">
        <v>0</v>
      </c>
      <c r="P200" s="21">
        <f>N200</f>
        <v>288843</v>
      </c>
      <c r="Q200" s="21">
        <v>0</v>
      </c>
    </row>
    <row r="201" spans="1:17" s="183" customFormat="1" ht="16.5" customHeight="1">
      <c r="A201" s="14"/>
      <c r="B201" s="15" t="s">
        <v>269</v>
      </c>
      <c r="C201" s="301" t="s">
        <v>270</v>
      </c>
      <c r="D201" s="8">
        <v>4145</v>
      </c>
      <c r="E201" s="8">
        <v>6923</v>
      </c>
      <c r="F201" s="8">
        <v>0</v>
      </c>
      <c r="G201" s="8">
        <v>0</v>
      </c>
      <c r="H201" s="17">
        <v>10410</v>
      </c>
      <c r="I201" s="17">
        <v>0</v>
      </c>
      <c r="J201" s="17">
        <v>0</v>
      </c>
      <c r="K201" s="8">
        <v>18074</v>
      </c>
      <c r="L201" s="8"/>
      <c r="M201" s="17">
        <v>0</v>
      </c>
      <c r="N201" s="8">
        <f t="shared" si="29"/>
        <v>18074</v>
      </c>
      <c r="O201" s="8">
        <v>0</v>
      </c>
      <c r="P201" s="21">
        <f aca="true" t="shared" si="35" ref="P201:P209">N201</f>
        <v>18074</v>
      </c>
      <c r="Q201" s="21">
        <v>0</v>
      </c>
    </row>
    <row r="202" spans="1:17" s="183" customFormat="1" ht="15.75" customHeight="1">
      <c r="A202" s="14"/>
      <c r="B202" s="22" t="s">
        <v>328</v>
      </c>
      <c r="C202" s="301" t="s">
        <v>299</v>
      </c>
      <c r="D202" s="8">
        <v>44040</v>
      </c>
      <c r="E202" s="8">
        <v>40253</v>
      </c>
      <c r="F202" s="8">
        <v>4948</v>
      </c>
      <c r="G202" s="8">
        <v>0</v>
      </c>
      <c r="H202" s="8">
        <v>51300</v>
      </c>
      <c r="I202" s="8">
        <v>0</v>
      </c>
      <c r="J202" s="8">
        <v>0</v>
      </c>
      <c r="K202" s="8">
        <v>55214</v>
      </c>
      <c r="L202" s="8"/>
      <c r="M202" s="8"/>
      <c r="N202" s="8">
        <f t="shared" si="29"/>
        <v>55214</v>
      </c>
      <c r="O202" s="8">
        <v>0</v>
      </c>
      <c r="P202" s="21">
        <f t="shared" si="35"/>
        <v>55214</v>
      </c>
      <c r="Q202" s="21">
        <v>0</v>
      </c>
    </row>
    <row r="203" spans="1:17" s="183" customFormat="1" ht="14.25" customHeight="1">
      <c r="A203" s="14"/>
      <c r="B203" s="22" t="s">
        <v>273</v>
      </c>
      <c r="C203" s="301" t="s">
        <v>274</v>
      </c>
      <c r="D203" s="8"/>
      <c r="E203" s="8">
        <v>5538</v>
      </c>
      <c r="F203" s="8">
        <v>680</v>
      </c>
      <c r="G203" s="8">
        <v>0</v>
      </c>
      <c r="H203" s="8">
        <v>7030</v>
      </c>
      <c r="I203" s="8">
        <v>0</v>
      </c>
      <c r="J203" s="8">
        <v>0</v>
      </c>
      <c r="K203" s="8">
        <v>7520</v>
      </c>
      <c r="L203" s="8"/>
      <c r="M203" s="8"/>
      <c r="N203" s="8">
        <f t="shared" si="29"/>
        <v>7520</v>
      </c>
      <c r="O203" s="8">
        <v>0</v>
      </c>
      <c r="P203" s="21">
        <f t="shared" si="35"/>
        <v>7520</v>
      </c>
      <c r="Q203" s="21">
        <v>0</v>
      </c>
    </row>
    <row r="204" spans="1:17" s="183" customFormat="1" ht="14.25" customHeight="1">
      <c r="A204" s="14"/>
      <c r="B204" s="15" t="s">
        <v>275</v>
      </c>
      <c r="C204" s="251" t="s">
        <v>443</v>
      </c>
      <c r="D204" s="8"/>
      <c r="E204" s="8">
        <v>1700</v>
      </c>
      <c r="F204" s="8">
        <v>0</v>
      </c>
      <c r="G204" s="8">
        <v>0</v>
      </c>
      <c r="H204" s="8">
        <v>300</v>
      </c>
      <c r="I204" s="8">
        <v>0</v>
      </c>
      <c r="J204" s="8">
        <v>0</v>
      </c>
      <c r="K204" s="8">
        <v>57229</v>
      </c>
      <c r="L204" s="8">
        <v>0</v>
      </c>
      <c r="M204" s="8">
        <v>0</v>
      </c>
      <c r="N204" s="8">
        <f t="shared" si="29"/>
        <v>57229</v>
      </c>
      <c r="O204" s="8">
        <v>0</v>
      </c>
      <c r="P204" s="21">
        <f t="shared" si="35"/>
        <v>57229</v>
      </c>
      <c r="Q204" s="21">
        <v>0</v>
      </c>
    </row>
    <row r="205" spans="1:17" s="183" customFormat="1" ht="14.25" customHeight="1">
      <c r="A205" s="14"/>
      <c r="B205" s="15" t="s">
        <v>277</v>
      </c>
      <c r="C205" s="251" t="s">
        <v>397</v>
      </c>
      <c r="D205" s="8"/>
      <c r="E205" s="8"/>
      <c r="F205" s="8"/>
      <c r="G205" s="8"/>
      <c r="H205" s="8"/>
      <c r="I205" s="8"/>
      <c r="J205" s="8"/>
      <c r="K205" s="8">
        <v>2100</v>
      </c>
      <c r="L205" s="8"/>
      <c r="M205" s="8"/>
      <c r="N205" s="8">
        <f t="shared" si="29"/>
        <v>2100</v>
      </c>
      <c r="O205" s="8">
        <v>0</v>
      </c>
      <c r="P205" s="21">
        <f t="shared" si="35"/>
        <v>2100</v>
      </c>
      <c r="Q205" s="21">
        <v>0</v>
      </c>
    </row>
    <row r="206" spans="1:17" s="183" customFormat="1" ht="14.25" customHeight="1">
      <c r="A206" s="14"/>
      <c r="B206" s="15" t="s">
        <v>281</v>
      </c>
      <c r="C206" s="251" t="s">
        <v>399</v>
      </c>
      <c r="D206" s="8"/>
      <c r="E206" s="8"/>
      <c r="F206" s="8"/>
      <c r="G206" s="8"/>
      <c r="H206" s="8">
        <v>1700</v>
      </c>
      <c r="I206" s="8">
        <v>0</v>
      </c>
      <c r="J206" s="8">
        <v>0</v>
      </c>
      <c r="K206" s="8">
        <v>3675</v>
      </c>
      <c r="L206" s="8"/>
      <c r="M206" s="8"/>
      <c r="N206" s="8">
        <f t="shared" si="29"/>
        <v>3675</v>
      </c>
      <c r="O206" s="8">
        <v>0</v>
      </c>
      <c r="P206" s="21">
        <f t="shared" si="35"/>
        <v>3675</v>
      </c>
      <c r="Q206" s="21">
        <v>0</v>
      </c>
    </row>
    <row r="207" spans="1:17" s="183" customFormat="1" ht="18.75" customHeight="1">
      <c r="A207" s="14"/>
      <c r="B207" s="15" t="s">
        <v>287</v>
      </c>
      <c r="C207" s="251" t="s">
        <v>288</v>
      </c>
      <c r="D207" s="8"/>
      <c r="E207" s="8">
        <v>15689</v>
      </c>
      <c r="F207" s="8">
        <v>0</v>
      </c>
      <c r="G207" s="8">
        <v>0</v>
      </c>
      <c r="H207" s="17">
        <v>14740</v>
      </c>
      <c r="I207" s="17">
        <v>0</v>
      </c>
      <c r="J207" s="17">
        <v>0</v>
      </c>
      <c r="K207" s="8">
        <v>14862</v>
      </c>
      <c r="L207" s="8"/>
      <c r="M207" s="17"/>
      <c r="N207" s="8">
        <f t="shared" si="29"/>
        <v>14862</v>
      </c>
      <c r="O207" s="8">
        <v>0</v>
      </c>
      <c r="P207" s="21">
        <f t="shared" si="35"/>
        <v>14862</v>
      </c>
      <c r="Q207" s="21">
        <v>0</v>
      </c>
    </row>
    <row r="208" spans="1:17" s="183" customFormat="1" ht="16.5" customHeight="1">
      <c r="A208" s="14"/>
      <c r="B208" s="15" t="s">
        <v>307</v>
      </c>
      <c r="C208" s="251" t="s">
        <v>181</v>
      </c>
      <c r="D208" s="8"/>
      <c r="E208" s="8"/>
      <c r="F208" s="8"/>
      <c r="G208" s="8"/>
      <c r="H208" s="17"/>
      <c r="I208" s="17"/>
      <c r="J208" s="17"/>
      <c r="K208" s="8">
        <v>236751</v>
      </c>
      <c r="L208" s="8">
        <v>0</v>
      </c>
      <c r="M208" s="17">
        <v>0</v>
      </c>
      <c r="N208" s="8">
        <f t="shared" si="29"/>
        <v>236751</v>
      </c>
      <c r="O208" s="8">
        <v>0</v>
      </c>
      <c r="P208" s="21">
        <f t="shared" si="35"/>
        <v>236751</v>
      </c>
      <c r="Q208" s="21">
        <v>0</v>
      </c>
    </row>
    <row r="209" spans="1:17" s="183" customFormat="1" ht="22.5" customHeight="1">
      <c r="A209" s="14"/>
      <c r="B209" s="15" t="s">
        <v>439</v>
      </c>
      <c r="C209" s="129" t="s">
        <v>208</v>
      </c>
      <c r="D209" s="8"/>
      <c r="E209" s="8"/>
      <c r="F209" s="8"/>
      <c r="G209" s="8"/>
      <c r="H209" s="8">
        <v>51059</v>
      </c>
      <c r="I209" s="8">
        <v>0</v>
      </c>
      <c r="J209" s="8">
        <v>0</v>
      </c>
      <c r="K209" s="8">
        <v>239080</v>
      </c>
      <c r="L209" s="8"/>
      <c r="M209" s="8"/>
      <c r="N209" s="8">
        <f t="shared" si="29"/>
        <v>239080</v>
      </c>
      <c r="O209" s="8">
        <v>0</v>
      </c>
      <c r="P209" s="21">
        <f t="shared" si="35"/>
        <v>239080</v>
      </c>
      <c r="Q209" s="21">
        <v>0</v>
      </c>
    </row>
    <row r="210" spans="1:17" s="183" customFormat="1" ht="16.5" customHeight="1">
      <c r="A210" s="196" t="s">
        <v>444</v>
      </c>
      <c r="B210" s="308"/>
      <c r="C210" s="169" t="s">
        <v>445</v>
      </c>
      <c r="D210" s="169" t="e">
        <f>D212+D213+D214+#REF!+D217+#REF!</f>
        <v>#REF!</v>
      </c>
      <c r="E210" s="169" t="e">
        <f>E212+E213+E214+E215+#REF!+E216+E217+#REF!+E220+#REF!+E221+E223+E224+E225+E227+#REF!</f>
        <v>#REF!</v>
      </c>
      <c r="F210" s="169" t="e">
        <f>F212+F213+F214+F215+#REF!+F216+F217+#REF!+F220+#REF!+F221+F223+F224+F225+F227+#REF!</f>
        <v>#REF!</v>
      </c>
      <c r="G210" s="169" t="e">
        <f>G212+G213+G214+G215+#REF!+G216+G217+#REF!+G220+#REF!+G221+G223+G224+G225+G227+#REF!</f>
        <v>#REF!</v>
      </c>
      <c r="H210" s="169" t="e">
        <f>H212+H213+H214+H215+H211+H216+H217+H219+#REF!+H220+#REF!+H221+H223+H224+H225+H227+H226</f>
        <v>#REF!</v>
      </c>
      <c r="I210" s="169" t="e">
        <f>I212+I213+I214+I215+I211+I216+I217+I219+#REF!+I220+#REF!+I221+I223+I224+I225+I227+I226</f>
        <v>#REF!</v>
      </c>
      <c r="J210" s="169" t="e">
        <f>J212+J213+J214+J215+J211+J216+J217+J219+#REF!+J220+#REF!+J221+J223+J224+J225+J227+J226</f>
        <v>#REF!</v>
      </c>
      <c r="K210" s="169">
        <f>SUM(K211:K227)</f>
        <v>2169829</v>
      </c>
      <c r="L210" s="169">
        <f>SUM(L211:L227)</f>
        <v>0</v>
      </c>
      <c r="M210" s="169">
        <f>SUM(M211:M227)</f>
        <v>0</v>
      </c>
      <c r="N210" s="169">
        <f t="shared" si="29"/>
        <v>2169829</v>
      </c>
      <c r="O210" s="169">
        <f>SUM(O211:O227)</f>
        <v>0</v>
      </c>
      <c r="P210" s="169">
        <f>SUM(P211:P227)</f>
        <v>2169829</v>
      </c>
      <c r="Q210" s="169">
        <f>SUM(Q211:Q227)</f>
        <v>0</v>
      </c>
    </row>
    <row r="211" spans="1:17" s="325" customFormat="1" ht="13.5" customHeight="1">
      <c r="A211" s="20"/>
      <c r="B211" s="15" t="s">
        <v>248</v>
      </c>
      <c r="C211" s="434" t="s">
        <v>446</v>
      </c>
      <c r="D211" s="170"/>
      <c r="E211" s="170"/>
      <c r="F211" s="170"/>
      <c r="G211" s="170"/>
      <c r="H211" s="170">
        <v>14208</v>
      </c>
      <c r="I211" s="170">
        <v>0</v>
      </c>
      <c r="J211" s="170">
        <v>0</v>
      </c>
      <c r="K211" s="170">
        <v>9000</v>
      </c>
      <c r="L211" s="170">
        <v>0</v>
      </c>
      <c r="M211" s="170"/>
      <c r="N211" s="8">
        <f t="shared" si="29"/>
        <v>9000</v>
      </c>
      <c r="O211" s="170">
        <v>0</v>
      </c>
      <c r="P211" s="21">
        <f>N211</f>
        <v>9000</v>
      </c>
      <c r="Q211" s="21">
        <v>0</v>
      </c>
    </row>
    <row r="212" spans="1:17" s="183" customFormat="1" ht="18" customHeight="1">
      <c r="A212" s="20"/>
      <c r="B212" s="15" t="s">
        <v>265</v>
      </c>
      <c r="C212" s="301" t="s">
        <v>266</v>
      </c>
      <c r="D212" s="8">
        <v>1980166</v>
      </c>
      <c r="E212" s="8">
        <v>1975260</v>
      </c>
      <c r="F212" s="8">
        <v>27891</v>
      </c>
      <c r="G212" s="8">
        <v>26283</v>
      </c>
      <c r="H212" s="8">
        <v>1137604</v>
      </c>
      <c r="I212" s="8">
        <v>0</v>
      </c>
      <c r="J212" s="8">
        <v>0</v>
      </c>
      <c r="K212" s="8">
        <v>1304557</v>
      </c>
      <c r="L212" s="8"/>
      <c r="M212" s="8"/>
      <c r="N212" s="8">
        <f t="shared" si="29"/>
        <v>1304557</v>
      </c>
      <c r="O212" s="8">
        <v>0</v>
      </c>
      <c r="P212" s="21">
        <f aca="true" t="shared" si="36" ref="P212:P229">N212</f>
        <v>1304557</v>
      </c>
      <c r="Q212" s="21">
        <v>0</v>
      </c>
    </row>
    <row r="213" spans="1:17" s="183" customFormat="1" ht="14.25" customHeight="1">
      <c r="A213" s="20"/>
      <c r="B213" s="15" t="s">
        <v>269</v>
      </c>
      <c r="C213" s="301" t="s">
        <v>270</v>
      </c>
      <c r="D213" s="8">
        <v>123848</v>
      </c>
      <c r="E213" s="8">
        <v>159042</v>
      </c>
      <c r="F213" s="8">
        <v>0</v>
      </c>
      <c r="G213" s="8">
        <v>0</v>
      </c>
      <c r="H213" s="8">
        <v>76054</v>
      </c>
      <c r="I213" s="8">
        <v>0</v>
      </c>
      <c r="J213" s="8">
        <v>0</v>
      </c>
      <c r="K213" s="8">
        <v>94071</v>
      </c>
      <c r="L213" s="8"/>
      <c r="M213" s="8">
        <v>0</v>
      </c>
      <c r="N213" s="8">
        <f t="shared" si="29"/>
        <v>94071</v>
      </c>
      <c r="O213" s="8">
        <v>0</v>
      </c>
      <c r="P213" s="21">
        <f t="shared" si="36"/>
        <v>94071</v>
      </c>
      <c r="Q213" s="21">
        <v>0</v>
      </c>
    </row>
    <row r="214" spans="1:17" s="183" customFormat="1" ht="15" customHeight="1">
      <c r="A214" s="20"/>
      <c r="B214" s="22" t="s">
        <v>328</v>
      </c>
      <c r="C214" s="301" t="s">
        <v>342</v>
      </c>
      <c r="D214" s="8">
        <v>414136</v>
      </c>
      <c r="E214" s="8">
        <v>370552</v>
      </c>
      <c r="F214" s="8">
        <v>2840</v>
      </c>
      <c r="G214" s="8">
        <v>2000</v>
      </c>
      <c r="H214" s="8">
        <v>214800</v>
      </c>
      <c r="I214" s="8">
        <v>0</v>
      </c>
      <c r="J214" s="8">
        <v>0</v>
      </c>
      <c r="K214" s="8">
        <v>237305</v>
      </c>
      <c r="L214" s="8">
        <v>0</v>
      </c>
      <c r="M214" s="8"/>
      <c r="N214" s="8">
        <f t="shared" si="29"/>
        <v>237305</v>
      </c>
      <c r="O214" s="8">
        <v>0</v>
      </c>
      <c r="P214" s="21">
        <f t="shared" si="36"/>
        <v>237305</v>
      </c>
      <c r="Q214" s="21">
        <v>0</v>
      </c>
    </row>
    <row r="215" spans="1:17" s="183" customFormat="1" ht="16.5" customHeight="1">
      <c r="A215" s="20"/>
      <c r="B215" s="22" t="s">
        <v>273</v>
      </c>
      <c r="C215" s="301" t="s">
        <v>274</v>
      </c>
      <c r="D215" s="8"/>
      <c r="E215" s="8">
        <v>50795</v>
      </c>
      <c r="F215" s="8">
        <v>390</v>
      </c>
      <c r="G215" s="8">
        <v>165</v>
      </c>
      <c r="H215" s="8">
        <v>29560</v>
      </c>
      <c r="I215" s="8">
        <v>0</v>
      </c>
      <c r="J215" s="8">
        <v>0</v>
      </c>
      <c r="K215" s="8">
        <v>32439</v>
      </c>
      <c r="L215" s="8">
        <v>0</v>
      </c>
      <c r="M215" s="8"/>
      <c r="N215" s="8">
        <f t="shared" si="29"/>
        <v>32439</v>
      </c>
      <c r="O215" s="8">
        <v>0</v>
      </c>
      <c r="P215" s="21">
        <f t="shared" si="36"/>
        <v>32439</v>
      </c>
      <c r="Q215" s="21">
        <v>0</v>
      </c>
    </row>
    <row r="216" spans="1:17" s="183" customFormat="1" ht="15.75" customHeight="1">
      <c r="A216" s="20"/>
      <c r="B216" s="15" t="s">
        <v>447</v>
      </c>
      <c r="C216" s="251" t="s">
        <v>448</v>
      </c>
      <c r="D216" s="8"/>
      <c r="E216" s="8">
        <v>8110</v>
      </c>
      <c r="F216" s="8">
        <v>0</v>
      </c>
      <c r="G216" s="8">
        <v>0</v>
      </c>
      <c r="H216" s="8">
        <v>300</v>
      </c>
      <c r="I216" s="8">
        <v>0</v>
      </c>
      <c r="J216" s="8">
        <v>0</v>
      </c>
      <c r="K216" s="8">
        <v>5700</v>
      </c>
      <c r="L216" s="8"/>
      <c r="M216" s="8"/>
      <c r="N216" s="8">
        <f t="shared" si="29"/>
        <v>5700</v>
      </c>
      <c r="O216" s="8">
        <v>0</v>
      </c>
      <c r="P216" s="21">
        <f t="shared" si="36"/>
        <v>5700</v>
      </c>
      <c r="Q216" s="21">
        <v>0</v>
      </c>
    </row>
    <row r="217" spans="1:17" s="183" customFormat="1" ht="15" customHeight="1">
      <c r="A217" s="20"/>
      <c r="B217" s="30">
        <v>4210</v>
      </c>
      <c r="C217" s="251" t="s">
        <v>302</v>
      </c>
      <c r="D217" s="8" t="e">
        <f>#REF!+#REF!</f>
        <v>#REF!</v>
      </c>
      <c r="E217" s="17">
        <v>110063</v>
      </c>
      <c r="F217" s="17">
        <v>262</v>
      </c>
      <c r="G217" s="17">
        <v>0</v>
      </c>
      <c r="H217" s="8">
        <v>94500</v>
      </c>
      <c r="I217" s="8">
        <v>0</v>
      </c>
      <c r="J217" s="8">
        <v>0</v>
      </c>
      <c r="K217" s="8">
        <v>83606</v>
      </c>
      <c r="L217" s="8"/>
      <c r="M217" s="8">
        <v>0</v>
      </c>
      <c r="N217" s="8">
        <f t="shared" si="29"/>
        <v>83606</v>
      </c>
      <c r="O217" s="8">
        <v>0</v>
      </c>
      <c r="P217" s="21">
        <f t="shared" si="36"/>
        <v>83606</v>
      </c>
      <c r="Q217" s="21">
        <v>0</v>
      </c>
    </row>
    <row r="218" spans="1:17" s="183" customFormat="1" ht="15" customHeight="1">
      <c r="A218" s="20"/>
      <c r="B218" s="30">
        <v>4170</v>
      </c>
      <c r="C218" s="251" t="s">
        <v>682</v>
      </c>
      <c r="D218" s="8"/>
      <c r="E218" s="17"/>
      <c r="F218" s="17"/>
      <c r="G218" s="17"/>
      <c r="H218" s="8"/>
      <c r="I218" s="8"/>
      <c r="J218" s="8"/>
      <c r="K218" s="8">
        <v>1000</v>
      </c>
      <c r="L218" s="8"/>
      <c r="M218" s="8"/>
      <c r="N218" s="8">
        <f t="shared" si="29"/>
        <v>1000</v>
      </c>
      <c r="O218" s="8"/>
      <c r="P218" s="21">
        <f t="shared" si="36"/>
        <v>1000</v>
      </c>
      <c r="Q218" s="21"/>
    </row>
    <row r="219" spans="1:17" s="183" customFormat="1" ht="15" customHeight="1">
      <c r="A219" s="20"/>
      <c r="B219" s="30">
        <v>4240</v>
      </c>
      <c r="C219" s="251" t="s">
        <v>437</v>
      </c>
      <c r="D219" s="8"/>
      <c r="E219" s="17"/>
      <c r="F219" s="17"/>
      <c r="G219" s="17"/>
      <c r="H219" s="8">
        <v>3000</v>
      </c>
      <c r="I219" s="8">
        <v>0</v>
      </c>
      <c r="J219" s="8">
        <v>0</v>
      </c>
      <c r="K219" s="8">
        <v>2850</v>
      </c>
      <c r="L219" s="8">
        <v>0</v>
      </c>
      <c r="M219" s="8"/>
      <c r="N219" s="8">
        <f t="shared" si="29"/>
        <v>2850</v>
      </c>
      <c r="O219" s="8">
        <v>0</v>
      </c>
      <c r="P219" s="21">
        <f t="shared" si="36"/>
        <v>2850</v>
      </c>
      <c r="Q219" s="21">
        <v>0</v>
      </c>
    </row>
    <row r="220" spans="1:17" s="183" customFormat="1" ht="15.75" customHeight="1">
      <c r="A220" s="20"/>
      <c r="B220" s="15" t="s">
        <v>277</v>
      </c>
      <c r="C220" s="251" t="s">
        <v>397</v>
      </c>
      <c r="D220" s="8"/>
      <c r="E220" s="8">
        <v>137000</v>
      </c>
      <c r="F220" s="8">
        <v>8000</v>
      </c>
      <c r="G220" s="8">
        <v>0</v>
      </c>
      <c r="H220" s="8">
        <v>38000</v>
      </c>
      <c r="I220" s="8">
        <v>0</v>
      </c>
      <c r="J220" s="8">
        <v>0</v>
      </c>
      <c r="K220" s="8">
        <v>31800</v>
      </c>
      <c r="L220" s="8"/>
      <c r="M220" s="8"/>
      <c r="N220" s="8">
        <f t="shared" si="29"/>
        <v>31800</v>
      </c>
      <c r="O220" s="8">
        <v>0</v>
      </c>
      <c r="P220" s="21">
        <f t="shared" si="36"/>
        <v>31800</v>
      </c>
      <c r="Q220" s="21">
        <v>0</v>
      </c>
    </row>
    <row r="221" spans="1:17" s="183" customFormat="1" ht="16.5" customHeight="1">
      <c r="A221" s="20"/>
      <c r="B221" s="15" t="s">
        <v>281</v>
      </c>
      <c r="C221" s="251" t="s">
        <v>282</v>
      </c>
      <c r="D221" s="8"/>
      <c r="E221" s="8">
        <v>58100</v>
      </c>
      <c r="F221" s="8">
        <v>0</v>
      </c>
      <c r="G221" s="8">
        <v>4500</v>
      </c>
      <c r="H221" s="8">
        <v>30000</v>
      </c>
      <c r="I221" s="8">
        <v>0</v>
      </c>
      <c r="J221" s="8">
        <v>0</v>
      </c>
      <c r="K221" s="8">
        <v>30588</v>
      </c>
      <c r="L221" s="8">
        <v>0</v>
      </c>
      <c r="M221" s="8"/>
      <c r="N221" s="8">
        <f t="shared" si="29"/>
        <v>30588</v>
      </c>
      <c r="O221" s="8">
        <v>0</v>
      </c>
      <c r="P221" s="21">
        <f t="shared" si="36"/>
        <v>30588</v>
      </c>
      <c r="Q221" s="21">
        <v>0</v>
      </c>
    </row>
    <row r="222" spans="1:17" s="183" customFormat="1" ht="16.5" customHeight="1">
      <c r="A222" s="20"/>
      <c r="B222" s="15" t="s">
        <v>112</v>
      </c>
      <c r="C222" s="251" t="s">
        <v>113</v>
      </c>
      <c r="D222" s="8"/>
      <c r="E222" s="8"/>
      <c r="F222" s="8"/>
      <c r="G222" s="8"/>
      <c r="H222" s="8"/>
      <c r="I222" s="8"/>
      <c r="J222" s="8"/>
      <c r="K222" s="8">
        <v>4200</v>
      </c>
      <c r="L222" s="8"/>
      <c r="M222" s="8"/>
      <c r="N222" s="8">
        <f t="shared" si="29"/>
        <v>4200</v>
      </c>
      <c r="O222" s="8"/>
      <c r="P222" s="21">
        <f t="shared" si="36"/>
        <v>4200</v>
      </c>
      <c r="Q222" s="21"/>
    </row>
    <row r="223" spans="1:17" s="183" customFormat="1" ht="17.25" customHeight="1">
      <c r="A223" s="20"/>
      <c r="B223" s="15" t="s">
        <v>283</v>
      </c>
      <c r="C223" s="251" t="s">
        <v>284</v>
      </c>
      <c r="D223" s="8"/>
      <c r="E223" s="8">
        <v>7500</v>
      </c>
      <c r="F223" s="8">
        <v>1200</v>
      </c>
      <c r="G223" s="8">
        <v>0</v>
      </c>
      <c r="H223" s="8">
        <v>3500</v>
      </c>
      <c r="I223" s="8">
        <v>0</v>
      </c>
      <c r="J223" s="8">
        <v>0</v>
      </c>
      <c r="K223" s="8">
        <v>3900</v>
      </c>
      <c r="L223" s="8"/>
      <c r="M223" s="8"/>
      <c r="N223" s="8">
        <f t="shared" si="29"/>
        <v>3900</v>
      </c>
      <c r="O223" s="8">
        <v>0</v>
      </c>
      <c r="P223" s="21">
        <f t="shared" si="36"/>
        <v>3900</v>
      </c>
      <c r="Q223" s="21">
        <v>0</v>
      </c>
    </row>
    <row r="224" spans="1:17" s="183" customFormat="1" ht="14.25" customHeight="1">
      <c r="A224" s="20"/>
      <c r="B224" s="15" t="s">
        <v>285</v>
      </c>
      <c r="C224" s="251" t="s">
        <v>286</v>
      </c>
      <c r="D224" s="8"/>
      <c r="E224" s="8">
        <v>873</v>
      </c>
      <c r="F224" s="8">
        <v>1000</v>
      </c>
      <c r="G224" s="8">
        <v>0</v>
      </c>
      <c r="H224" s="8">
        <v>2600</v>
      </c>
      <c r="I224" s="8">
        <v>0</v>
      </c>
      <c r="J224" s="8">
        <v>0</v>
      </c>
      <c r="K224" s="8">
        <v>0</v>
      </c>
      <c r="L224" s="8"/>
      <c r="M224" s="8"/>
      <c r="N224" s="8">
        <f t="shared" si="29"/>
        <v>0</v>
      </c>
      <c r="O224" s="8">
        <v>0</v>
      </c>
      <c r="P224" s="21">
        <f t="shared" si="36"/>
        <v>0</v>
      </c>
      <c r="Q224" s="21">
        <v>0</v>
      </c>
    </row>
    <row r="225" spans="1:17" s="183" customFormat="1" ht="15.75" customHeight="1">
      <c r="A225" s="20"/>
      <c r="B225" s="15" t="s">
        <v>287</v>
      </c>
      <c r="C225" s="251" t="s">
        <v>288</v>
      </c>
      <c r="D225" s="8"/>
      <c r="E225" s="8">
        <v>126309</v>
      </c>
      <c r="F225" s="8">
        <v>0</v>
      </c>
      <c r="G225" s="8">
        <v>700</v>
      </c>
      <c r="H225" s="8">
        <v>60789</v>
      </c>
      <c r="I225" s="8">
        <v>0</v>
      </c>
      <c r="J225" s="8">
        <v>0</v>
      </c>
      <c r="K225" s="8">
        <v>68190</v>
      </c>
      <c r="L225" s="8"/>
      <c r="M225" s="8"/>
      <c r="N225" s="8">
        <f t="shared" si="29"/>
        <v>68190</v>
      </c>
      <c r="O225" s="8">
        <v>0</v>
      </c>
      <c r="P225" s="21">
        <f t="shared" si="36"/>
        <v>68190</v>
      </c>
      <c r="Q225" s="21">
        <v>0</v>
      </c>
    </row>
    <row r="226" spans="1:17" s="183" customFormat="1" ht="14.25" customHeight="1">
      <c r="A226" s="20"/>
      <c r="B226" s="15" t="s">
        <v>303</v>
      </c>
      <c r="C226" s="251" t="s">
        <v>304</v>
      </c>
      <c r="D226" s="8"/>
      <c r="E226" s="8"/>
      <c r="F226" s="8"/>
      <c r="G226" s="8"/>
      <c r="H226" s="8">
        <v>1021</v>
      </c>
      <c r="I226" s="8">
        <v>0</v>
      </c>
      <c r="J226" s="8">
        <v>0</v>
      </c>
      <c r="K226" s="8">
        <v>1220</v>
      </c>
      <c r="L226" s="8">
        <v>0</v>
      </c>
      <c r="M226" s="8"/>
      <c r="N226" s="8">
        <f t="shared" si="29"/>
        <v>1220</v>
      </c>
      <c r="O226" s="8">
        <v>0</v>
      </c>
      <c r="P226" s="21">
        <f t="shared" si="36"/>
        <v>1220</v>
      </c>
      <c r="Q226" s="21">
        <v>0</v>
      </c>
    </row>
    <row r="227" spans="1:17" s="183" customFormat="1" ht="15" customHeight="1">
      <c r="A227" s="20"/>
      <c r="B227" s="15" t="s">
        <v>439</v>
      </c>
      <c r="C227" s="129" t="s">
        <v>449</v>
      </c>
      <c r="D227" s="8"/>
      <c r="E227" s="8" t="e">
        <f>E228+#REF!</f>
        <v>#REF!</v>
      </c>
      <c r="F227" s="8" t="e">
        <f>F228+#REF!</f>
        <v>#REF!</v>
      </c>
      <c r="G227" s="8" t="e">
        <f>G228+#REF!</f>
        <v>#REF!</v>
      </c>
      <c r="H227" s="8" t="e">
        <f>H228+#REF!+H229</f>
        <v>#REF!</v>
      </c>
      <c r="I227" s="8">
        <v>0</v>
      </c>
      <c r="J227" s="8">
        <v>0</v>
      </c>
      <c r="K227" s="8">
        <f>K228+K229</f>
        <v>259403</v>
      </c>
      <c r="L227" s="8">
        <f>L228+L229</f>
        <v>0</v>
      </c>
      <c r="M227" s="8">
        <f>M228+M229</f>
        <v>0</v>
      </c>
      <c r="N227" s="8">
        <f t="shared" si="29"/>
        <v>259403</v>
      </c>
      <c r="O227" s="8">
        <v>0</v>
      </c>
      <c r="P227" s="21">
        <f t="shared" si="36"/>
        <v>259403</v>
      </c>
      <c r="Q227" s="21">
        <v>0</v>
      </c>
    </row>
    <row r="228" spans="1:17" s="183" customFormat="1" ht="13.5" customHeight="1">
      <c r="A228" s="20"/>
      <c r="B228" s="15"/>
      <c r="C228" s="251" t="s">
        <v>450</v>
      </c>
      <c r="D228" s="8"/>
      <c r="E228" s="8">
        <v>246759</v>
      </c>
      <c r="F228" s="8">
        <v>0</v>
      </c>
      <c r="G228" s="8">
        <v>72750</v>
      </c>
      <c r="H228" s="8">
        <v>62124</v>
      </c>
      <c r="I228" s="8">
        <v>0</v>
      </c>
      <c r="J228" s="8">
        <v>0</v>
      </c>
      <c r="K228" s="8">
        <v>60742</v>
      </c>
      <c r="L228" s="8">
        <v>0</v>
      </c>
      <c r="M228" s="8"/>
      <c r="N228" s="8">
        <f t="shared" si="29"/>
        <v>60742</v>
      </c>
      <c r="O228" s="8">
        <v>0</v>
      </c>
      <c r="P228" s="21">
        <f t="shared" si="36"/>
        <v>60742</v>
      </c>
      <c r="Q228" s="21">
        <v>0</v>
      </c>
    </row>
    <row r="229" spans="1:17" s="183" customFormat="1" ht="13.5" customHeight="1">
      <c r="A229" s="20"/>
      <c r="B229" s="8"/>
      <c r="C229" s="251" t="s">
        <v>451</v>
      </c>
      <c r="D229" s="8"/>
      <c r="E229" s="8"/>
      <c r="F229" s="8"/>
      <c r="G229" s="8"/>
      <c r="H229" s="8">
        <v>171443</v>
      </c>
      <c r="I229" s="8">
        <v>0</v>
      </c>
      <c r="J229" s="8">
        <v>0</v>
      </c>
      <c r="K229" s="8">
        <v>198661</v>
      </c>
      <c r="L229" s="8">
        <v>0</v>
      </c>
      <c r="M229" s="8"/>
      <c r="N229" s="8">
        <f t="shared" si="29"/>
        <v>198661</v>
      </c>
      <c r="O229" s="8">
        <v>0</v>
      </c>
      <c r="P229" s="21">
        <f t="shared" si="36"/>
        <v>198661</v>
      </c>
      <c r="Q229" s="21">
        <v>0</v>
      </c>
    </row>
    <row r="230" spans="1:17" s="183" customFormat="1" ht="18.75" customHeight="1">
      <c r="A230" s="198" t="s">
        <v>209</v>
      </c>
      <c r="B230" s="169"/>
      <c r="C230" s="169" t="s">
        <v>210</v>
      </c>
      <c r="D230" s="169"/>
      <c r="E230" s="169"/>
      <c r="F230" s="169"/>
      <c r="G230" s="169"/>
      <c r="H230" s="169" t="e">
        <f>H231+H233+H234+H235+H236+H237+H238+#REF!</f>
        <v>#REF!</v>
      </c>
      <c r="I230" s="169" t="e">
        <f>I231+I233+I234+I235+I236+I237+I238+#REF!</f>
        <v>#REF!</v>
      </c>
      <c r="J230" s="169" t="e">
        <f>J231+J233+J234+J235+J236+J237+J238+#REF!</f>
        <v>#REF!</v>
      </c>
      <c r="K230" s="169">
        <f>SUM(K231:K238)</f>
        <v>966176</v>
      </c>
      <c r="L230" s="169">
        <f>SUM(L231:L238)</f>
        <v>0</v>
      </c>
      <c r="M230" s="169">
        <f>SUM(M231:M238)</f>
        <v>0</v>
      </c>
      <c r="N230" s="169">
        <f t="shared" si="29"/>
        <v>966176</v>
      </c>
      <c r="O230" s="169">
        <f>O231+O233+O234+O235+O236+O237+O238+O232</f>
        <v>0</v>
      </c>
      <c r="P230" s="169">
        <f>P231+P233+P234+P235+P236+P237+P238+P232</f>
        <v>966176</v>
      </c>
      <c r="Q230" s="169">
        <f>Q231+Q233+Q234+Q235+Q236+Q237+Q238+Q232</f>
        <v>0</v>
      </c>
    </row>
    <row r="231" spans="1:17" s="183" customFormat="1" ht="13.5" customHeight="1">
      <c r="A231" s="20"/>
      <c r="B231" s="8">
        <v>4010</v>
      </c>
      <c r="C231" s="301" t="s">
        <v>266</v>
      </c>
      <c r="D231" s="8"/>
      <c r="E231" s="8"/>
      <c r="F231" s="8"/>
      <c r="G231" s="8"/>
      <c r="H231" s="8">
        <v>322855</v>
      </c>
      <c r="I231" s="8">
        <v>0</v>
      </c>
      <c r="J231" s="8">
        <v>0</v>
      </c>
      <c r="K231" s="8">
        <v>687005</v>
      </c>
      <c r="L231" s="8">
        <v>0</v>
      </c>
      <c r="M231" s="8"/>
      <c r="N231" s="8">
        <f t="shared" si="29"/>
        <v>687005</v>
      </c>
      <c r="O231" s="8">
        <v>0</v>
      </c>
      <c r="P231" s="21">
        <f>N231</f>
        <v>687005</v>
      </c>
      <c r="Q231" s="21">
        <v>0</v>
      </c>
    </row>
    <row r="232" spans="1:17" s="183" customFormat="1" ht="13.5" customHeight="1">
      <c r="A232" s="20"/>
      <c r="B232" s="8">
        <v>4040</v>
      </c>
      <c r="C232" s="301" t="s">
        <v>270</v>
      </c>
      <c r="D232" s="8"/>
      <c r="E232" s="8"/>
      <c r="F232" s="8"/>
      <c r="G232" s="8"/>
      <c r="H232" s="8"/>
      <c r="I232" s="8"/>
      <c r="J232" s="8"/>
      <c r="K232" s="8">
        <v>54240</v>
      </c>
      <c r="L232" s="8"/>
      <c r="M232" s="8">
        <v>0</v>
      </c>
      <c r="N232" s="8">
        <f t="shared" si="29"/>
        <v>54240</v>
      </c>
      <c r="O232" s="8">
        <v>0</v>
      </c>
      <c r="P232" s="21">
        <f aca="true" t="shared" si="37" ref="P232:P238">N232</f>
        <v>54240</v>
      </c>
      <c r="Q232" s="21">
        <v>0</v>
      </c>
    </row>
    <row r="233" spans="1:17" s="183" customFormat="1" ht="13.5" customHeight="1">
      <c r="A233" s="20"/>
      <c r="B233" s="8">
        <v>4110</v>
      </c>
      <c r="C233" s="301" t="s">
        <v>342</v>
      </c>
      <c r="D233" s="8"/>
      <c r="E233" s="8"/>
      <c r="F233" s="8"/>
      <c r="G233" s="8"/>
      <c r="H233" s="8">
        <v>58061</v>
      </c>
      <c r="I233" s="8">
        <v>0</v>
      </c>
      <c r="J233" s="8">
        <v>0</v>
      </c>
      <c r="K233" s="8">
        <v>130202</v>
      </c>
      <c r="L233" s="8"/>
      <c r="M233" s="8"/>
      <c r="N233" s="8">
        <f t="shared" si="29"/>
        <v>130202</v>
      </c>
      <c r="O233" s="8">
        <v>0</v>
      </c>
      <c r="P233" s="21">
        <f t="shared" si="37"/>
        <v>130202</v>
      </c>
      <c r="Q233" s="21">
        <v>0</v>
      </c>
    </row>
    <row r="234" spans="1:17" s="183" customFormat="1" ht="13.5" customHeight="1">
      <c r="A234" s="20"/>
      <c r="B234" s="8">
        <v>4120</v>
      </c>
      <c r="C234" s="301" t="s">
        <v>274</v>
      </c>
      <c r="D234" s="8"/>
      <c r="E234" s="8"/>
      <c r="F234" s="8"/>
      <c r="G234" s="8"/>
      <c r="H234" s="8">
        <v>7696</v>
      </c>
      <c r="I234" s="8">
        <v>0</v>
      </c>
      <c r="J234" s="8">
        <v>0</v>
      </c>
      <c r="K234" s="8">
        <v>17732</v>
      </c>
      <c r="L234" s="8"/>
      <c r="M234" s="8"/>
      <c r="N234" s="8">
        <f aca="true" t="shared" si="38" ref="N234:N263">K234+L234-M234</f>
        <v>17732</v>
      </c>
      <c r="O234" s="8">
        <v>0</v>
      </c>
      <c r="P234" s="21">
        <f t="shared" si="37"/>
        <v>17732</v>
      </c>
      <c r="Q234" s="21">
        <v>0</v>
      </c>
    </row>
    <row r="235" spans="1:17" s="183" customFormat="1" ht="13.5" customHeight="1">
      <c r="A235" s="20"/>
      <c r="B235" s="8">
        <v>4210</v>
      </c>
      <c r="C235" s="251" t="s">
        <v>302</v>
      </c>
      <c r="D235" s="8"/>
      <c r="E235" s="8"/>
      <c r="F235" s="8"/>
      <c r="G235" s="8"/>
      <c r="H235" s="8">
        <v>44979</v>
      </c>
      <c r="I235" s="8">
        <v>0</v>
      </c>
      <c r="J235" s="8">
        <v>0</v>
      </c>
      <c r="K235" s="8">
        <v>2040</v>
      </c>
      <c r="L235" s="8"/>
      <c r="M235" s="8"/>
      <c r="N235" s="8">
        <f t="shared" si="38"/>
        <v>2040</v>
      </c>
      <c r="O235" s="8">
        <v>0</v>
      </c>
      <c r="P235" s="21">
        <f t="shared" si="37"/>
        <v>2040</v>
      </c>
      <c r="Q235" s="21">
        <v>0</v>
      </c>
    </row>
    <row r="236" spans="1:17" s="183" customFormat="1" ht="13.5" customHeight="1">
      <c r="A236" s="20"/>
      <c r="B236" s="8">
        <v>4260</v>
      </c>
      <c r="C236" s="251" t="s">
        <v>397</v>
      </c>
      <c r="D236" s="8"/>
      <c r="E236" s="8"/>
      <c r="F236" s="8"/>
      <c r="G236" s="8"/>
      <c r="H236" s="8">
        <v>12000</v>
      </c>
      <c r="I236" s="8">
        <v>0</v>
      </c>
      <c r="J236" s="8">
        <v>0</v>
      </c>
      <c r="K236" s="8">
        <v>17200</v>
      </c>
      <c r="L236" s="8"/>
      <c r="M236" s="8"/>
      <c r="N236" s="8">
        <f t="shared" si="38"/>
        <v>17200</v>
      </c>
      <c r="O236" s="8">
        <v>0</v>
      </c>
      <c r="P236" s="21">
        <f t="shared" si="37"/>
        <v>17200</v>
      </c>
      <c r="Q236" s="21">
        <v>0</v>
      </c>
    </row>
    <row r="237" spans="1:17" s="183" customFormat="1" ht="13.5" customHeight="1">
      <c r="A237" s="20"/>
      <c r="B237" s="8">
        <v>4300</v>
      </c>
      <c r="C237" s="251" t="s">
        <v>282</v>
      </c>
      <c r="D237" s="8"/>
      <c r="E237" s="8"/>
      <c r="F237" s="8"/>
      <c r="G237" s="8"/>
      <c r="H237" s="8">
        <v>4664</v>
      </c>
      <c r="I237" s="8">
        <v>0</v>
      </c>
      <c r="J237" s="8">
        <v>0</v>
      </c>
      <c r="K237" s="8">
        <v>10600</v>
      </c>
      <c r="L237" s="8"/>
      <c r="M237" s="8"/>
      <c r="N237" s="8">
        <f t="shared" si="38"/>
        <v>10600</v>
      </c>
      <c r="O237" s="8">
        <v>0</v>
      </c>
      <c r="P237" s="21">
        <f t="shared" si="37"/>
        <v>10600</v>
      </c>
      <c r="Q237" s="21">
        <v>0</v>
      </c>
    </row>
    <row r="238" spans="1:17" s="183" customFormat="1" ht="13.5" customHeight="1">
      <c r="A238" s="20"/>
      <c r="B238" s="8">
        <v>4440</v>
      </c>
      <c r="C238" s="251" t="s">
        <v>288</v>
      </c>
      <c r="D238" s="8"/>
      <c r="E238" s="8"/>
      <c r="F238" s="8"/>
      <c r="G238" s="8"/>
      <c r="H238" s="8">
        <v>15378</v>
      </c>
      <c r="I238" s="8">
        <v>0</v>
      </c>
      <c r="J238" s="8">
        <v>0</v>
      </c>
      <c r="K238" s="8">
        <v>47157</v>
      </c>
      <c r="L238" s="8"/>
      <c r="M238" s="8"/>
      <c r="N238" s="8">
        <f t="shared" si="38"/>
        <v>47157</v>
      </c>
      <c r="O238" s="8">
        <v>0</v>
      </c>
      <c r="P238" s="21">
        <f t="shared" si="37"/>
        <v>47157</v>
      </c>
      <c r="Q238" s="21">
        <v>0</v>
      </c>
    </row>
    <row r="239" spans="1:17" s="183" customFormat="1" ht="18.75" customHeight="1">
      <c r="A239" s="198" t="s">
        <v>453</v>
      </c>
      <c r="B239" s="207"/>
      <c r="C239" s="169" t="s">
        <v>454</v>
      </c>
      <c r="D239" s="169">
        <f>D241+D242+D243+D240</f>
        <v>1881934</v>
      </c>
      <c r="E239" s="169" t="e">
        <f>E241+E242+E243+E244+#REF!+E240+E247+E248+E249+E250+E252+E254+E256+E257+E261+E260</f>
        <v>#REF!</v>
      </c>
      <c r="F239" s="169" t="e">
        <f>F241+F242+F243+F244+#REF!+F240+F247+F248+F249+F250+F252+F254+F256+F257+F261+F260</f>
        <v>#REF!</v>
      </c>
      <c r="G239" s="169" t="e">
        <f>G241+G242+G243+G244+#REF!+G240+G247+G248+G249+G250+G252+G254+G256+G257+G261+G260</f>
        <v>#REF!</v>
      </c>
      <c r="H239" s="169" t="e">
        <f>H241+H242+H243+H244+#REF!+H240+H247+H248+H249+H250+H252+H254+H256+H257+H261+H260+H245+H258+#REF!+#REF!</f>
        <v>#REF!</v>
      </c>
      <c r="I239" s="169" t="e">
        <f>I241+I242+I243+I244+#REF!+I240+I247+I248+I249+I250+I252+I254+I256+I257+I261+I260+I245+I258+#REF!+#REF!</f>
        <v>#REF!</v>
      </c>
      <c r="J239" s="169" t="e">
        <f>J241+J242+J243+J244+#REF!+J240+J247+J248+J249+J250+J252+J254+J256+J257+J261+J260+J245+J258+#REF!+#REF!</f>
        <v>#REF!</v>
      </c>
      <c r="K239" s="169">
        <f>SUM(K240:K261)</f>
        <v>4546437</v>
      </c>
      <c r="L239" s="169">
        <f>SUM(L240:L261)</f>
        <v>31083</v>
      </c>
      <c r="M239" s="169">
        <f>SUM(M240:M261)</f>
        <v>943</v>
      </c>
      <c r="N239" s="169">
        <f t="shared" si="38"/>
        <v>4576577</v>
      </c>
      <c r="O239" s="169">
        <f>SUM(O240:O261)</f>
        <v>0</v>
      </c>
      <c r="P239" s="169">
        <f>SUM(P240:P261)</f>
        <v>4576577</v>
      </c>
      <c r="Q239" s="169">
        <f>Q241+Q242+Q243+Q244+Q240+Q246+Q247+Q248+Q249+Q250+Q252+Q253+Q254+Q255+Q256+Q257+Q259+Q261+Q260+Q245+Q258</f>
        <v>0</v>
      </c>
    </row>
    <row r="240" spans="1:17" s="183" customFormat="1" ht="14.25" customHeight="1">
      <c r="A240" s="20"/>
      <c r="B240" s="15" t="s">
        <v>248</v>
      </c>
      <c r="C240" s="301" t="s">
        <v>455</v>
      </c>
      <c r="D240" s="8">
        <v>262062</v>
      </c>
      <c r="E240" s="8">
        <v>7439</v>
      </c>
      <c r="F240" s="8">
        <v>0</v>
      </c>
      <c r="G240" s="8">
        <v>0</v>
      </c>
      <c r="H240" s="8">
        <v>4872</v>
      </c>
      <c r="I240" s="8">
        <v>0</v>
      </c>
      <c r="J240" s="8">
        <v>0</v>
      </c>
      <c r="K240" s="8">
        <v>2710</v>
      </c>
      <c r="L240" s="8">
        <v>0</v>
      </c>
      <c r="M240" s="8"/>
      <c r="N240" s="8">
        <f t="shared" si="38"/>
        <v>2710</v>
      </c>
      <c r="O240" s="8">
        <v>0</v>
      </c>
      <c r="P240" s="21">
        <f>N240</f>
        <v>2710</v>
      </c>
      <c r="Q240" s="21">
        <v>0</v>
      </c>
    </row>
    <row r="241" spans="1:17" s="183" customFormat="1" ht="14.25" customHeight="1">
      <c r="A241" s="20"/>
      <c r="B241" s="15" t="s">
        <v>265</v>
      </c>
      <c r="C241" s="301" t="s">
        <v>266</v>
      </c>
      <c r="D241" s="8">
        <v>1306363</v>
      </c>
      <c r="E241" s="8">
        <v>2620120</v>
      </c>
      <c r="F241" s="8">
        <v>76198</v>
      </c>
      <c r="G241" s="8">
        <v>0</v>
      </c>
      <c r="H241" s="8">
        <v>2507234</v>
      </c>
      <c r="I241" s="8">
        <v>0</v>
      </c>
      <c r="J241" s="8">
        <v>0</v>
      </c>
      <c r="K241" s="8">
        <v>2690595</v>
      </c>
      <c r="L241" s="8"/>
      <c r="M241" s="8">
        <v>0</v>
      </c>
      <c r="N241" s="8">
        <f t="shared" si="38"/>
        <v>2690595</v>
      </c>
      <c r="O241" s="8">
        <v>0</v>
      </c>
      <c r="P241" s="21">
        <f aca="true" t="shared" si="39" ref="P241:P263">N241</f>
        <v>2690595</v>
      </c>
      <c r="Q241" s="21">
        <v>0</v>
      </c>
    </row>
    <row r="242" spans="1:17" s="183" customFormat="1" ht="14.25" customHeight="1">
      <c r="A242" s="20"/>
      <c r="B242" s="15" t="s">
        <v>269</v>
      </c>
      <c r="C242" s="301" t="s">
        <v>270</v>
      </c>
      <c r="D242" s="8">
        <v>74072</v>
      </c>
      <c r="E242" s="8">
        <v>90144</v>
      </c>
      <c r="F242" s="8">
        <v>0</v>
      </c>
      <c r="G242" s="8">
        <v>0</v>
      </c>
      <c r="H242" s="8">
        <v>229094</v>
      </c>
      <c r="I242" s="8">
        <v>0</v>
      </c>
      <c r="J242" s="8">
        <v>0</v>
      </c>
      <c r="K242" s="8">
        <v>232928</v>
      </c>
      <c r="L242" s="8">
        <v>0</v>
      </c>
      <c r="M242" s="8"/>
      <c r="N242" s="8">
        <f t="shared" si="38"/>
        <v>232928</v>
      </c>
      <c r="O242" s="8">
        <v>0</v>
      </c>
      <c r="P242" s="21">
        <f t="shared" si="39"/>
        <v>232928</v>
      </c>
      <c r="Q242" s="21">
        <v>0</v>
      </c>
    </row>
    <row r="243" spans="1:17" s="183" customFormat="1" ht="12.75" customHeight="1">
      <c r="A243" s="20"/>
      <c r="B243" s="22" t="s">
        <v>328</v>
      </c>
      <c r="C243" s="301" t="s">
        <v>342</v>
      </c>
      <c r="D243" s="8">
        <v>239437</v>
      </c>
      <c r="E243" s="8">
        <v>480155</v>
      </c>
      <c r="F243" s="8">
        <v>6005</v>
      </c>
      <c r="G243" s="8">
        <v>0</v>
      </c>
      <c r="H243" s="8">
        <v>471989</v>
      </c>
      <c r="I243" s="8">
        <v>0</v>
      </c>
      <c r="J243" s="8">
        <v>0</v>
      </c>
      <c r="K243" s="8">
        <v>510820</v>
      </c>
      <c r="L243" s="8"/>
      <c r="M243" s="8"/>
      <c r="N243" s="8">
        <f t="shared" si="38"/>
        <v>510820</v>
      </c>
      <c r="O243" s="8">
        <v>0</v>
      </c>
      <c r="P243" s="21">
        <f t="shared" si="39"/>
        <v>510820</v>
      </c>
      <c r="Q243" s="21">
        <v>0</v>
      </c>
    </row>
    <row r="244" spans="1:17" s="183" customFormat="1" ht="15" customHeight="1">
      <c r="A244" s="20"/>
      <c r="B244" s="22" t="s">
        <v>273</v>
      </c>
      <c r="C244" s="301" t="s">
        <v>274</v>
      </c>
      <c r="D244" s="8"/>
      <c r="E244" s="8">
        <v>62713</v>
      </c>
      <c r="F244" s="8">
        <v>822</v>
      </c>
      <c r="G244" s="8">
        <v>0</v>
      </c>
      <c r="H244" s="8">
        <v>64920</v>
      </c>
      <c r="I244" s="8">
        <v>0</v>
      </c>
      <c r="J244" s="8">
        <v>0</v>
      </c>
      <c r="K244" s="8">
        <v>69612</v>
      </c>
      <c r="L244" s="8"/>
      <c r="M244" s="8"/>
      <c r="N244" s="8">
        <f t="shared" si="38"/>
        <v>69612</v>
      </c>
      <c r="O244" s="8">
        <v>0</v>
      </c>
      <c r="P244" s="21">
        <f t="shared" si="39"/>
        <v>69612</v>
      </c>
      <c r="Q244" s="21">
        <v>0</v>
      </c>
    </row>
    <row r="245" spans="1:17" s="183" customFormat="1" ht="14.25" customHeight="1">
      <c r="A245" s="20"/>
      <c r="B245" s="15" t="s">
        <v>447</v>
      </c>
      <c r="C245" s="301" t="s">
        <v>456</v>
      </c>
      <c r="D245" s="8"/>
      <c r="E245" s="8"/>
      <c r="F245" s="8"/>
      <c r="G245" s="8"/>
      <c r="H245" s="8">
        <v>8642</v>
      </c>
      <c r="I245" s="8">
        <v>0</v>
      </c>
      <c r="J245" s="8">
        <v>0</v>
      </c>
      <c r="K245" s="8">
        <v>6100</v>
      </c>
      <c r="L245" s="8"/>
      <c r="M245" s="8"/>
      <c r="N245" s="8">
        <f t="shared" si="38"/>
        <v>6100</v>
      </c>
      <c r="O245" s="8">
        <v>0</v>
      </c>
      <c r="P245" s="21">
        <f t="shared" si="39"/>
        <v>6100</v>
      </c>
      <c r="Q245" s="21">
        <v>0</v>
      </c>
    </row>
    <row r="246" spans="1:17" s="183" customFormat="1" ht="14.25" customHeight="1">
      <c r="A246" s="20"/>
      <c r="B246" s="15" t="s">
        <v>97</v>
      </c>
      <c r="C246" s="301" t="s">
        <v>111</v>
      </c>
      <c r="D246" s="8"/>
      <c r="E246" s="8"/>
      <c r="F246" s="8"/>
      <c r="G246" s="8"/>
      <c r="H246" s="8"/>
      <c r="I246" s="8"/>
      <c r="J246" s="8"/>
      <c r="K246" s="8">
        <v>9500</v>
      </c>
      <c r="L246" s="8">
        <v>100</v>
      </c>
      <c r="M246" s="8"/>
      <c r="N246" s="8">
        <f t="shared" si="38"/>
        <v>9600</v>
      </c>
      <c r="O246" s="8">
        <v>0</v>
      </c>
      <c r="P246" s="21">
        <f t="shared" si="39"/>
        <v>9600</v>
      </c>
      <c r="Q246" s="21">
        <v>0</v>
      </c>
    </row>
    <row r="247" spans="1:17" s="183" customFormat="1" ht="15" customHeight="1">
      <c r="A247" s="20"/>
      <c r="B247" s="15" t="s">
        <v>275</v>
      </c>
      <c r="C247" s="251" t="s">
        <v>302</v>
      </c>
      <c r="D247" s="8"/>
      <c r="E247" s="8">
        <v>262668</v>
      </c>
      <c r="F247" s="8">
        <v>7750</v>
      </c>
      <c r="G247" s="8">
        <v>0</v>
      </c>
      <c r="H247" s="8">
        <v>374867</v>
      </c>
      <c r="I247" s="8">
        <v>0</v>
      </c>
      <c r="J247" s="8">
        <v>0</v>
      </c>
      <c r="K247" s="8">
        <v>541899</v>
      </c>
      <c r="L247" s="8">
        <v>0</v>
      </c>
      <c r="M247" s="8"/>
      <c r="N247" s="8">
        <f t="shared" si="38"/>
        <v>541899</v>
      </c>
      <c r="O247" s="8">
        <v>0</v>
      </c>
      <c r="P247" s="21">
        <f t="shared" si="39"/>
        <v>541899</v>
      </c>
      <c r="Q247" s="21">
        <v>0</v>
      </c>
    </row>
    <row r="248" spans="1:17" s="183" customFormat="1" ht="13.5" customHeight="1">
      <c r="A248" s="20"/>
      <c r="B248" s="15" t="s">
        <v>436</v>
      </c>
      <c r="C248" s="251" t="s">
        <v>437</v>
      </c>
      <c r="D248" s="8"/>
      <c r="E248" s="8">
        <v>5206</v>
      </c>
      <c r="F248" s="8">
        <v>0</v>
      </c>
      <c r="G248" s="8">
        <v>1000</v>
      </c>
      <c r="H248" s="8">
        <v>6041</v>
      </c>
      <c r="I248" s="8">
        <v>0</v>
      </c>
      <c r="J248" s="8">
        <v>0</v>
      </c>
      <c r="K248" s="8">
        <v>8200</v>
      </c>
      <c r="L248" s="8"/>
      <c r="M248" s="8"/>
      <c r="N248" s="8">
        <f t="shared" si="38"/>
        <v>8200</v>
      </c>
      <c r="O248" s="8">
        <v>0</v>
      </c>
      <c r="P248" s="21">
        <f t="shared" si="39"/>
        <v>8200</v>
      </c>
      <c r="Q248" s="21">
        <v>0</v>
      </c>
    </row>
    <row r="249" spans="1:17" s="183" customFormat="1" ht="14.25" customHeight="1">
      <c r="A249" s="20"/>
      <c r="B249" s="15" t="s">
        <v>277</v>
      </c>
      <c r="C249" s="251" t="s">
        <v>397</v>
      </c>
      <c r="D249" s="8"/>
      <c r="E249" s="8">
        <v>47707</v>
      </c>
      <c r="F249" s="8">
        <v>0</v>
      </c>
      <c r="G249" s="8">
        <v>3000</v>
      </c>
      <c r="H249" s="8">
        <v>88260</v>
      </c>
      <c r="I249" s="8">
        <v>0</v>
      </c>
      <c r="J249" s="8">
        <v>0</v>
      </c>
      <c r="K249" s="8">
        <v>65278</v>
      </c>
      <c r="L249" s="8"/>
      <c r="M249" s="8"/>
      <c r="N249" s="8">
        <f t="shared" si="38"/>
        <v>65278</v>
      </c>
      <c r="O249" s="8">
        <v>0</v>
      </c>
      <c r="P249" s="21">
        <f t="shared" si="39"/>
        <v>65278</v>
      </c>
      <c r="Q249" s="21">
        <v>0</v>
      </c>
    </row>
    <row r="250" spans="1:17" s="183" customFormat="1" ht="14.25" customHeight="1">
      <c r="A250" s="20"/>
      <c r="B250" s="15" t="s">
        <v>279</v>
      </c>
      <c r="C250" s="251" t="s">
        <v>398</v>
      </c>
      <c r="D250" s="8"/>
      <c r="E250" s="8">
        <v>55847</v>
      </c>
      <c r="F250" s="8">
        <v>0</v>
      </c>
      <c r="G250" s="8">
        <v>765</v>
      </c>
      <c r="H250" s="8">
        <v>241716</v>
      </c>
      <c r="I250" s="8">
        <v>0</v>
      </c>
      <c r="J250" s="8">
        <v>0</v>
      </c>
      <c r="K250" s="8">
        <v>0</v>
      </c>
      <c r="L250" s="8">
        <v>0</v>
      </c>
      <c r="M250" s="8"/>
      <c r="N250" s="8">
        <f t="shared" si="38"/>
        <v>0</v>
      </c>
      <c r="O250" s="8">
        <v>0</v>
      </c>
      <c r="P250" s="21">
        <f t="shared" si="39"/>
        <v>0</v>
      </c>
      <c r="Q250" s="21">
        <v>0</v>
      </c>
    </row>
    <row r="251" spans="1:17" s="183" customFormat="1" ht="14.25" customHeight="1">
      <c r="A251" s="20"/>
      <c r="B251" s="15" t="s">
        <v>349</v>
      </c>
      <c r="C251" s="251" t="s">
        <v>350</v>
      </c>
      <c r="D251" s="8"/>
      <c r="E251" s="8"/>
      <c r="F251" s="8"/>
      <c r="G251" s="8"/>
      <c r="H251" s="8"/>
      <c r="I251" s="8"/>
      <c r="J251" s="8"/>
      <c r="K251" s="8">
        <v>2625</v>
      </c>
      <c r="L251" s="8"/>
      <c r="M251" s="8"/>
      <c r="N251" s="8">
        <f t="shared" si="38"/>
        <v>2625</v>
      </c>
      <c r="O251" s="8"/>
      <c r="P251" s="21">
        <f t="shared" si="39"/>
        <v>2625</v>
      </c>
      <c r="Q251" s="21">
        <v>0</v>
      </c>
    </row>
    <row r="252" spans="1:17" s="183" customFormat="1" ht="14.25" customHeight="1">
      <c r="A252" s="20"/>
      <c r="B252" s="15" t="s">
        <v>281</v>
      </c>
      <c r="C252" s="251" t="s">
        <v>399</v>
      </c>
      <c r="D252" s="8"/>
      <c r="E252" s="8">
        <v>36614</v>
      </c>
      <c r="F252" s="8">
        <v>3715</v>
      </c>
      <c r="G252" s="8">
        <v>0</v>
      </c>
      <c r="H252" s="8">
        <v>96150</v>
      </c>
      <c r="I252" s="8">
        <v>0</v>
      </c>
      <c r="J252" s="8">
        <v>0</v>
      </c>
      <c r="K252" s="8">
        <v>110125</v>
      </c>
      <c r="L252" s="8"/>
      <c r="M252" s="8"/>
      <c r="N252" s="8">
        <f t="shared" si="38"/>
        <v>110125</v>
      </c>
      <c r="O252" s="8">
        <v>0</v>
      </c>
      <c r="P252" s="21">
        <f t="shared" si="39"/>
        <v>110125</v>
      </c>
      <c r="Q252" s="21">
        <v>0</v>
      </c>
    </row>
    <row r="253" spans="1:17" s="183" customFormat="1" ht="14.25" customHeight="1">
      <c r="A253" s="20"/>
      <c r="B253" s="15" t="s">
        <v>112</v>
      </c>
      <c r="C253" s="251" t="s">
        <v>113</v>
      </c>
      <c r="D253" s="8"/>
      <c r="E253" s="8"/>
      <c r="F253" s="8"/>
      <c r="G253" s="8"/>
      <c r="H253" s="8"/>
      <c r="I253" s="8"/>
      <c r="J253" s="8"/>
      <c r="K253" s="8">
        <v>5280</v>
      </c>
      <c r="L253" s="8">
        <v>926</v>
      </c>
      <c r="M253" s="8"/>
      <c r="N253" s="8">
        <f t="shared" si="38"/>
        <v>6206</v>
      </c>
      <c r="O253" s="8">
        <v>0</v>
      </c>
      <c r="P253" s="21">
        <f t="shared" si="39"/>
        <v>6206</v>
      </c>
      <c r="Q253" s="21">
        <v>0</v>
      </c>
    </row>
    <row r="254" spans="1:17" s="183" customFormat="1" ht="15" customHeight="1">
      <c r="A254" s="20"/>
      <c r="B254" s="15" t="s">
        <v>283</v>
      </c>
      <c r="C254" s="251" t="s">
        <v>284</v>
      </c>
      <c r="D254" s="8"/>
      <c r="E254" s="8">
        <v>3411</v>
      </c>
      <c r="F254" s="8">
        <v>0</v>
      </c>
      <c r="G254" s="8">
        <v>1800</v>
      </c>
      <c r="H254" s="8">
        <v>3500</v>
      </c>
      <c r="I254" s="8">
        <v>0</v>
      </c>
      <c r="J254" s="8">
        <v>0</v>
      </c>
      <c r="K254" s="8">
        <v>5500</v>
      </c>
      <c r="L254" s="8"/>
      <c r="M254" s="8"/>
      <c r="N254" s="8">
        <f t="shared" si="38"/>
        <v>5500</v>
      </c>
      <c r="O254" s="8">
        <v>0</v>
      </c>
      <c r="P254" s="21">
        <f t="shared" si="39"/>
        <v>5500</v>
      </c>
      <c r="Q254" s="21">
        <v>0</v>
      </c>
    </row>
    <row r="255" spans="1:17" s="183" customFormat="1" ht="13.5" customHeight="1">
      <c r="A255" s="20"/>
      <c r="B255" s="15" t="s">
        <v>215</v>
      </c>
      <c r="C255" s="251" t="s">
        <v>216</v>
      </c>
      <c r="D255" s="8"/>
      <c r="E255" s="8"/>
      <c r="F255" s="8"/>
      <c r="G255" s="8"/>
      <c r="H255" s="8"/>
      <c r="I255" s="8"/>
      <c r="J255" s="8"/>
      <c r="K255" s="8">
        <v>500</v>
      </c>
      <c r="L255" s="8"/>
      <c r="M255" s="8"/>
      <c r="N255" s="8">
        <f t="shared" si="38"/>
        <v>500</v>
      </c>
      <c r="O255" s="8">
        <v>0</v>
      </c>
      <c r="P255" s="21">
        <f t="shared" si="39"/>
        <v>500</v>
      </c>
      <c r="Q255" s="21">
        <v>0</v>
      </c>
    </row>
    <row r="256" spans="1:17" s="183" customFormat="1" ht="12" customHeight="1">
      <c r="A256" s="20"/>
      <c r="B256" s="15" t="s">
        <v>285</v>
      </c>
      <c r="C256" s="251" t="s">
        <v>286</v>
      </c>
      <c r="D256" s="8"/>
      <c r="E256" s="8">
        <v>5700</v>
      </c>
      <c r="F256" s="8">
        <v>0</v>
      </c>
      <c r="G256" s="8">
        <v>0</v>
      </c>
      <c r="H256" s="17">
        <v>5900</v>
      </c>
      <c r="I256" s="8">
        <v>0</v>
      </c>
      <c r="J256" s="8">
        <v>0</v>
      </c>
      <c r="K256" s="8">
        <v>0</v>
      </c>
      <c r="L256" s="8"/>
      <c r="M256" s="8"/>
      <c r="N256" s="8">
        <f t="shared" si="38"/>
        <v>0</v>
      </c>
      <c r="O256" s="8">
        <v>0</v>
      </c>
      <c r="P256" s="21">
        <f t="shared" si="39"/>
        <v>0</v>
      </c>
      <c r="Q256" s="21">
        <v>0</v>
      </c>
    </row>
    <row r="257" spans="1:17" s="183" customFormat="1" ht="15" customHeight="1">
      <c r="A257" s="20"/>
      <c r="B257" s="15" t="s">
        <v>287</v>
      </c>
      <c r="C257" s="251" t="s">
        <v>288</v>
      </c>
      <c r="D257" s="8"/>
      <c r="E257" s="8">
        <v>156652</v>
      </c>
      <c r="F257" s="8">
        <v>0</v>
      </c>
      <c r="G257" s="8">
        <v>1550</v>
      </c>
      <c r="H257" s="8">
        <v>123022</v>
      </c>
      <c r="I257" s="8">
        <v>0</v>
      </c>
      <c r="J257" s="8">
        <v>0</v>
      </c>
      <c r="K257" s="8">
        <v>165996</v>
      </c>
      <c r="L257" s="8"/>
      <c r="M257" s="8"/>
      <c r="N257" s="8">
        <f t="shared" si="38"/>
        <v>165996</v>
      </c>
      <c r="O257" s="8">
        <v>0</v>
      </c>
      <c r="P257" s="21">
        <f t="shared" si="39"/>
        <v>165996</v>
      </c>
      <c r="Q257" s="21">
        <v>0</v>
      </c>
    </row>
    <row r="258" spans="1:17" s="183" customFormat="1" ht="13.5" customHeight="1">
      <c r="A258" s="20"/>
      <c r="B258" s="15" t="s">
        <v>303</v>
      </c>
      <c r="C258" s="251" t="s">
        <v>304</v>
      </c>
      <c r="D258" s="8"/>
      <c r="E258" s="8"/>
      <c r="F258" s="8"/>
      <c r="G258" s="8"/>
      <c r="H258" s="8">
        <v>0</v>
      </c>
      <c r="I258" s="8">
        <v>0</v>
      </c>
      <c r="J258" s="8">
        <v>0</v>
      </c>
      <c r="K258" s="8">
        <v>150</v>
      </c>
      <c r="L258" s="8">
        <v>57</v>
      </c>
      <c r="M258" s="8"/>
      <c r="N258" s="8">
        <f t="shared" si="38"/>
        <v>207</v>
      </c>
      <c r="O258" s="8">
        <v>0</v>
      </c>
      <c r="P258" s="21">
        <f t="shared" si="39"/>
        <v>207</v>
      </c>
      <c r="Q258" s="21">
        <v>0</v>
      </c>
    </row>
    <row r="259" spans="1:17" s="183" customFormat="1" ht="13.5" customHeight="1">
      <c r="A259" s="20"/>
      <c r="B259" s="15" t="s">
        <v>130</v>
      </c>
      <c r="C259" s="251" t="s">
        <v>584</v>
      </c>
      <c r="D259" s="8"/>
      <c r="E259" s="8"/>
      <c r="F259" s="8"/>
      <c r="G259" s="8"/>
      <c r="H259" s="8"/>
      <c r="I259" s="8"/>
      <c r="J259" s="8"/>
      <c r="K259" s="8">
        <v>3710</v>
      </c>
      <c r="L259" s="8"/>
      <c r="M259" s="8">
        <v>943</v>
      </c>
      <c r="N259" s="8">
        <f t="shared" si="38"/>
        <v>2767</v>
      </c>
      <c r="O259" s="8">
        <v>0</v>
      </c>
      <c r="P259" s="21">
        <f t="shared" si="39"/>
        <v>2767</v>
      </c>
      <c r="Q259" s="21">
        <v>0</v>
      </c>
    </row>
    <row r="260" spans="1:17" s="183" customFormat="1" ht="15" customHeight="1">
      <c r="A260" s="20"/>
      <c r="B260" s="15" t="s">
        <v>305</v>
      </c>
      <c r="C260" s="301" t="s">
        <v>452</v>
      </c>
      <c r="D260" s="8"/>
      <c r="E260" s="8">
        <v>654061</v>
      </c>
      <c r="F260" s="8">
        <v>0</v>
      </c>
      <c r="G260" s="8">
        <v>0</v>
      </c>
      <c r="H260" s="8">
        <v>1886648</v>
      </c>
      <c r="I260" s="8">
        <v>0</v>
      </c>
      <c r="J260" s="8">
        <v>0</v>
      </c>
      <c r="K260" s="8">
        <v>0</v>
      </c>
      <c r="L260" s="8">
        <v>30000</v>
      </c>
      <c r="M260" s="8"/>
      <c r="N260" s="8">
        <f t="shared" si="38"/>
        <v>30000</v>
      </c>
      <c r="O260" s="8">
        <v>0</v>
      </c>
      <c r="P260" s="21">
        <f t="shared" si="39"/>
        <v>30000</v>
      </c>
      <c r="Q260" s="21">
        <v>0</v>
      </c>
    </row>
    <row r="261" spans="1:17" s="183" customFormat="1" ht="17.25" customHeight="1">
      <c r="A261" s="20"/>
      <c r="B261" s="15" t="s">
        <v>439</v>
      </c>
      <c r="C261" s="129" t="s">
        <v>457</v>
      </c>
      <c r="D261" s="8">
        <v>0</v>
      </c>
      <c r="E261" s="8">
        <v>257318</v>
      </c>
      <c r="F261" s="8">
        <v>0</v>
      </c>
      <c r="G261" s="8">
        <v>74165</v>
      </c>
      <c r="H261" s="8" t="e">
        <f>H262+H263+#REF!</f>
        <v>#REF!</v>
      </c>
      <c r="I261" s="8">
        <v>0</v>
      </c>
      <c r="J261" s="8">
        <v>0</v>
      </c>
      <c r="K261" s="8">
        <f>K262+K263</f>
        <v>114909</v>
      </c>
      <c r="L261" s="8">
        <f>L262+L263</f>
        <v>0</v>
      </c>
      <c r="M261" s="8">
        <f>M262+M263</f>
        <v>0</v>
      </c>
      <c r="N261" s="8">
        <f t="shared" si="38"/>
        <v>114909</v>
      </c>
      <c r="O261" s="8">
        <f>O262+O263</f>
        <v>0</v>
      </c>
      <c r="P261" s="8">
        <f>P262+P263</f>
        <v>114909</v>
      </c>
      <c r="Q261" s="8">
        <f>Q262+Q263</f>
        <v>0</v>
      </c>
    </row>
    <row r="262" spans="1:17" s="183" customFormat="1" ht="15.75" customHeight="1">
      <c r="A262" s="20"/>
      <c r="B262" s="15"/>
      <c r="C262" s="275" t="s">
        <v>450</v>
      </c>
      <c r="D262" s="8"/>
      <c r="E262" s="8"/>
      <c r="F262" s="8"/>
      <c r="G262" s="8"/>
      <c r="H262" s="8">
        <v>227897</v>
      </c>
      <c r="I262" s="8">
        <v>0</v>
      </c>
      <c r="J262" s="8">
        <v>0</v>
      </c>
      <c r="K262" s="8">
        <v>79914</v>
      </c>
      <c r="L262" s="8">
        <v>0</v>
      </c>
      <c r="M262" s="8"/>
      <c r="N262" s="8">
        <f t="shared" si="38"/>
        <v>79914</v>
      </c>
      <c r="O262" s="8">
        <v>0</v>
      </c>
      <c r="P262" s="21">
        <f t="shared" si="39"/>
        <v>79914</v>
      </c>
      <c r="Q262" s="21">
        <v>0</v>
      </c>
    </row>
    <row r="263" spans="1:17" s="183" customFormat="1" ht="20.25" customHeight="1">
      <c r="A263" s="20"/>
      <c r="B263" s="15"/>
      <c r="C263" s="275" t="s">
        <v>451</v>
      </c>
      <c r="D263" s="8"/>
      <c r="E263" s="8"/>
      <c r="F263" s="8"/>
      <c r="G263" s="8"/>
      <c r="H263" s="8">
        <v>98014</v>
      </c>
      <c r="I263" s="8">
        <v>0</v>
      </c>
      <c r="J263" s="8">
        <v>0</v>
      </c>
      <c r="K263" s="8">
        <v>34995</v>
      </c>
      <c r="L263" s="8">
        <v>0</v>
      </c>
      <c r="M263" s="8"/>
      <c r="N263" s="8">
        <f t="shared" si="38"/>
        <v>34995</v>
      </c>
      <c r="O263" s="8">
        <v>0</v>
      </c>
      <c r="P263" s="21">
        <f t="shared" si="39"/>
        <v>34995</v>
      </c>
      <c r="Q263" s="21">
        <v>0</v>
      </c>
    </row>
    <row r="264" spans="1:17" s="183" customFormat="1" ht="17.25" customHeight="1">
      <c r="A264" s="198" t="s">
        <v>460</v>
      </c>
      <c r="B264" s="308"/>
      <c r="C264" s="169" t="s">
        <v>461</v>
      </c>
      <c r="D264" s="169">
        <f>D265+D266+D267+D269</f>
        <v>181894</v>
      </c>
      <c r="E264" s="169">
        <f>E265+E266+E267+E268+E269+E272</f>
        <v>139815</v>
      </c>
      <c r="F264" s="169">
        <f>F265+F266+F267+F268+F269+F272</f>
        <v>0</v>
      </c>
      <c r="G264" s="169">
        <f>G265+G266+G267+G268+G269+G272</f>
        <v>0</v>
      </c>
      <c r="H264" s="169" t="e">
        <f>H265+H266+H267+H268+H269+H272+#REF!+H271</f>
        <v>#REF!</v>
      </c>
      <c r="I264" s="169" t="e">
        <f>I265+I266+I267+I268+I269+I272+#REF!+I271</f>
        <v>#REF!</v>
      </c>
      <c r="J264" s="169" t="e">
        <f>J265+J266+J267+J268+J269+J272+#REF!+J271</f>
        <v>#REF!</v>
      </c>
      <c r="K264" s="169">
        <f>K265+K266+K267+K268+K269+K272+K273+K271+K270</f>
        <v>716418</v>
      </c>
      <c r="L264" s="169">
        <f>L265+L266+L267+L268+L269+L272+L271+L270</f>
        <v>0</v>
      </c>
      <c r="M264" s="169">
        <f>M265+M266+M267+M268+M269+M272+M271+M270</f>
        <v>0</v>
      </c>
      <c r="N264" s="169">
        <f aca="true" t="shared" si="40" ref="N264:N308">K264+L264-M264</f>
        <v>716418</v>
      </c>
      <c r="O264" s="169">
        <f>O265+O266+O267+O268+O269+O272+O271+O270</f>
        <v>0</v>
      </c>
      <c r="P264" s="169">
        <f>P265+P266+P267+P268+P269+P272+P271+P270+P273</f>
        <v>716418</v>
      </c>
      <c r="Q264" s="169">
        <f>Q265+Q266+Q267+Q268+Q269+Q272+Q271+Q270</f>
        <v>0</v>
      </c>
    </row>
    <row r="265" spans="1:17" s="183" customFormat="1" ht="12.75" customHeight="1">
      <c r="A265" s="23"/>
      <c r="B265" s="15" t="s">
        <v>265</v>
      </c>
      <c r="C265" s="301" t="s">
        <v>266</v>
      </c>
      <c r="D265" s="8">
        <v>134523</v>
      </c>
      <c r="E265" s="8">
        <v>97179</v>
      </c>
      <c r="F265" s="8">
        <v>0</v>
      </c>
      <c r="G265" s="8">
        <v>0</v>
      </c>
      <c r="H265" s="8">
        <v>148200</v>
      </c>
      <c r="I265" s="8">
        <v>0</v>
      </c>
      <c r="J265" s="8">
        <v>0</v>
      </c>
      <c r="K265" s="8">
        <v>409204</v>
      </c>
      <c r="L265" s="8">
        <v>0</v>
      </c>
      <c r="M265" s="8"/>
      <c r="N265" s="8">
        <f t="shared" si="40"/>
        <v>409204</v>
      </c>
      <c r="O265" s="8">
        <v>0</v>
      </c>
      <c r="P265" s="21">
        <f>N265</f>
        <v>409204</v>
      </c>
      <c r="Q265" s="21">
        <v>0</v>
      </c>
    </row>
    <row r="266" spans="1:17" s="183" customFormat="1" ht="13.5" customHeight="1">
      <c r="A266" s="23"/>
      <c r="B266" s="15" t="s">
        <v>269</v>
      </c>
      <c r="C266" s="301" t="s">
        <v>270</v>
      </c>
      <c r="D266" s="8">
        <v>12439</v>
      </c>
      <c r="E266" s="8">
        <v>9136</v>
      </c>
      <c r="F266" s="8">
        <v>0</v>
      </c>
      <c r="G266" s="8">
        <v>0</v>
      </c>
      <c r="H266" s="8">
        <v>8185</v>
      </c>
      <c r="I266" s="8">
        <v>0</v>
      </c>
      <c r="J266" s="8">
        <v>0</v>
      </c>
      <c r="K266" s="8">
        <v>31160</v>
      </c>
      <c r="L266" s="8"/>
      <c r="M266" s="8">
        <v>0</v>
      </c>
      <c r="N266" s="8">
        <f t="shared" si="40"/>
        <v>31160</v>
      </c>
      <c r="O266" s="8">
        <v>0</v>
      </c>
      <c r="P266" s="21">
        <f aca="true" t="shared" si="41" ref="P266:P273">N266</f>
        <v>31160</v>
      </c>
      <c r="Q266" s="21">
        <v>0</v>
      </c>
    </row>
    <row r="267" spans="1:17" s="183" customFormat="1" ht="13.5" customHeight="1">
      <c r="A267" s="23"/>
      <c r="B267" s="22" t="s">
        <v>328</v>
      </c>
      <c r="C267" s="301" t="s">
        <v>342</v>
      </c>
      <c r="D267" s="8">
        <v>28542</v>
      </c>
      <c r="E267" s="8">
        <v>18746</v>
      </c>
      <c r="F267" s="8">
        <v>0</v>
      </c>
      <c r="G267" s="8">
        <v>0</v>
      </c>
      <c r="H267" s="17">
        <v>27400</v>
      </c>
      <c r="I267" s="8">
        <v>0</v>
      </c>
      <c r="J267" s="8">
        <v>0</v>
      </c>
      <c r="K267" s="8">
        <v>79221</v>
      </c>
      <c r="L267" s="8"/>
      <c r="M267" s="8"/>
      <c r="N267" s="8">
        <f t="shared" si="40"/>
        <v>79221</v>
      </c>
      <c r="O267" s="8">
        <v>0</v>
      </c>
      <c r="P267" s="21">
        <f t="shared" si="41"/>
        <v>79221</v>
      </c>
      <c r="Q267" s="21">
        <v>0</v>
      </c>
    </row>
    <row r="268" spans="1:17" s="183" customFormat="1" ht="14.25" customHeight="1">
      <c r="A268" s="23"/>
      <c r="B268" s="22" t="s">
        <v>273</v>
      </c>
      <c r="C268" s="301" t="s">
        <v>274</v>
      </c>
      <c r="D268" s="8"/>
      <c r="E268" s="8">
        <v>2604</v>
      </c>
      <c r="F268" s="8">
        <v>0</v>
      </c>
      <c r="G268" s="8">
        <v>0</v>
      </c>
      <c r="H268" s="17">
        <v>3760</v>
      </c>
      <c r="I268" s="8">
        <v>0</v>
      </c>
      <c r="J268" s="8">
        <v>0</v>
      </c>
      <c r="K268" s="8">
        <v>10790</v>
      </c>
      <c r="L268" s="8"/>
      <c r="M268" s="8"/>
      <c r="N268" s="8">
        <f t="shared" si="40"/>
        <v>10790</v>
      </c>
      <c r="O268" s="8">
        <v>0</v>
      </c>
      <c r="P268" s="21">
        <f t="shared" si="41"/>
        <v>10790</v>
      </c>
      <c r="Q268" s="21">
        <v>0</v>
      </c>
    </row>
    <row r="269" spans="1:17" s="183" customFormat="1" ht="14.25" customHeight="1">
      <c r="A269" s="23"/>
      <c r="B269" s="15" t="s">
        <v>275</v>
      </c>
      <c r="C269" s="251" t="s">
        <v>302</v>
      </c>
      <c r="D269" s="8">
        <v>6390</v>
      </c>
      <c r="E269" s="8">
        <v>5029</v>
      </c>
      <c r="F269" s="8">
        <v>0</v>
      </c>
      <c r="G269" s="8">
        <v>0</v>
      </c>
      <c r="H269" s="17">
        <v>400</v>
      </c>
      <c r="I269" s="8">
        <v>0</v>
      </c>
      <c r="J269" s="8">
        <v>0</v>
      </c>
      <c r="K269" s="8">
        <v>6800</v>
      </c>
      <c r="L269" s="8"/>
      <c r="M269" s="8"/>
      <c r="N269" s="8">
        <f t="shared" si="40"/>
        <v>6800</v>
      </c>
      <c r="O269" s="8">
        <v>0</v>
      </c>
      <c r="P269" s="21">
        <f t="shared" si="41"/>
        <v>6800</v>
      </c>
      <c r="Q269" s="21">
        <v>0</v>
      </c>
    </row>
    <row r="270" spans="1:17" s="183" customFormat="1" ht="13.5" customHeight="1">
      <c r="A270" s="23"/>
      <c r="B270" s="15" t="s">
        <v>277</v>
      </c>
      <c r="C270" s="251" t="s">
        <v>278</v>
      </c>
      <c r="D270" s="8"/>
      <c r="E270" s="8"/>
      <c r="F270" s="8"/>
      <c r="G270" s="8"/>
      <c r="H270" s="17"/>
      <c r="I270" s="8"/>
      <c r="J270" s="8"/>
      <c r="K270" s="8">
        <v>6500</v>
      </c>
      <c r="L270" s="8"/>
      <c r="M270" s="8"/>
      <c r="N270" s="8">
        <f t="shared" si="40"/>
        <v>6500</v>
      </c>
      <c r="O270" s="8">
        <v>0</v>
      </c>
      <c r="P270" s="21">
        <f t="shared" si="41"/>
        <v>6500</v>
      </c>
      <c r="Q270" s="21">
        <v>0</v>
      </c>
    </row>
    <row r="271" spans="1:17" s="183" customFormat="1" ht="13.5" customHeight="1">
      <c r="A271" s="23"/>
      <c r="B271" s="15" t="s">
        <v>281</v>
      </c>
      <c r="C271" s="251" t="s">
        <v>282</v>
      </c>
      <c r="D271" s="8"/>
      <c r="E271" s="8"/>
      <c r="F271" s="8"/>
      <c r="G271" s="8"/>
      <c r="H271" s="17">
        <v>1600</v>
      </c>
      <c r="I271" s="8">
        <v>0</v>
      </c>
      <c r="J271" s="8">
        <v>0</v>
      </c>
      <c r="K271" s="8">
        <v>8200</v>
      </c>
      <c r="L271" s="8"/>
      <c r="M271" s="8"/>
      <c r="N271" s="8">
        <f t="shared" si="40"/>
        <v>8200</v>
      </c>
      <c r="O271" s="8">
        <v>0</v>
      </c>
      <c r="P271" s="21">
        <f t="shared" si="41"/>
        <v>8200</v>
      </c>
      <c r="Q271" s="21">
        <v>0</v>
      </c>
    </row>
    <row r="272" spans="1:17" s="183" customFormat="1" ht="16.5" customHeight="1">
      <c r="A272" s="23"/>
      <c r="B272" s="15" t="s">
        <v>287</v>
      </c>
      <c r="C272" s="251" t="s">
        <v>288</v>
      </c>
      <c r="D272" s="8"/>
      <c r="E272" s="8">
        <v>7121</v>
      </c>
      <c r="F272" s="8">
        <v>0</v>
      </c>
      <c r="G272" s="8">
        <v>0</v>
      </c>
      <c r="H272" s="17">
        <v>7875</v>
      </c>
      <c r="I272" s="8">
        <v>0</v>
      </c>
      <c r="J272" s="8">
        <v>0</v>
      </c>
      <c r="K272" s="8">
        <v>19556</v>
      </c>
      <c r="L272" s="8"/>
      <c r="M272" s="8"/>
      <c r="N272" s="8">
        <f t="shared" si="40"/>
        <v>19556</v>
      </c>
      <c r="O272" s="8">
        <v>0</v>
      </c>
      <c r="P272" s="21">
        <f t="shared" si="41"/>
        <v>19556</v>
      </c>
      <c r="Q272" s="21">
        <v>0</v>
      </c>
    </row>
    <row r="273" spans="1:17" s="183" customFormat="1" ht="22.5" customHeight="1">
      <c r="A273" s="23"/>
      <c r="B273" s="15" t="s">
        <v>439</v>
      </c>
      <c r="C273" s="129" t="s">
        <v>208</v>
      </c>
      <c r="D273" s="8"/>
      <c r="E273" s="8"/>
      <c r="F273" s="8"/>
      <c r="G273" s="8"/>
      <c r="H273" s="17"/>
      <c r="I273" s="8"/>
      <c r="J273" s="8"/>
      <c r="K273" s="8">
        <v>144987</v>
      </c>
      <c r="L273" s="8"/>
      <c r="M273" s="8"/>
      <c r="N273" s="8">
        <f t="shared" si="40"/>
        <v>144987</v>
      </c>
      <c r="O273" s="8"/>
      <c r="P273" s="21">
        <f t="shared" si="41"/>
        <v>144987</v>
      </c>
      <c r="Q273" s="21"/>
    </row>
    <row r="274" spans="1:17" s="183" customFormat="1" ht="15.75" customHeight="1">
      <c r="A274" s="198" t="s">
        <v>464</v>
      </c>
      <c r="B274" s="207"/>
      <c r="C274" s="197" t="s">
        <v>467</v>
      </c>
      <c r="D274" s="169"/>
      <c r="E274" s="169" t="e">
        <f>#REF!+E276+#REF!+#REF!+#REF!</f>
        <v>#REF!</v>
      </c>
      <c r="F274" s="169" t="e">
        <f>#REF!+F276+#REF!+#REF!+#REF!</f>
        <v>#REF!</v>
      </c>
      <c r="G274" s="169" t="e">
        <f>#REF!+G276+#REF!+#REF!+#REF!</f>
        <v>#REF!</v>
      </c>
      <c r="H274" s="169" t="e">
        <f>H276+#REF!</f>
        <v>#REF!</v>
      </c>
      <c r="I274" s="169" t="e">
        <f>I276+#REF!</f>
        <v>#REF!</v>
      </c>
      <c r="J274" s="169" t="e">
        <f>J276+#REF!</f>
        <v>#REF!</v>
      </c>
      <c r="K274" s="169">
        <f>K275+K276</f>
        <v>1200</v>
      </c>
      <c r="L274" s="169">
        <f>L275+L276</f>
        <v>0</v>
      </c>
      <c r="M274" s="169">
        <f>M275+M276</f>
        <v>0</v>
      </c>
      <c r="N274" s="449">
        <f t="shared" si="40"/>
        <v>1200</v>
      </c>
      <c r="O274" s="169">
        <f>O275+O276</f>
        <v>0</v>
      </c>
      <c r="P274" s="169">
        <f>P275+P276</f>
        <v>1200</v>
      </c>
      <c r="Q274" s="169">
        <f>Q275+Q276</f>
        <v>0</v>
      </c>
    </row>
    <row r="275" spans="1:17" s="183" customFormat="1" ht="13.5" customHeight="1">
      <c r="A275" s="23"/>
      <c r="B275" s="15" t="s">
        <v>97</v>
      </c>
      <c r="C275" s="301" t="s">
        <v>111</v>
      </c>
      <c r="D275" s="8"/>
      <c r="E275" s="8"/>
      <c r="F275" s="8"/>
      <c r="G275" s="8"/>
      <c r="H275" s="7"/>
      <c r="I275" s="7"/>
      <c r="J275" s="7"/>
      <c r="K275" s="17">
        <v>960</v>
      </c>
      <c r="L275" s="17"/>
      <c r="M275" s="7"/>
      <c r="N275" s="8">
        <f t="shared" si="40"/>
        <v>960</v>
      </c>
      <c r="O275" s="8">
        <v>0</v>
      </c>
      <c r="P275" s="21">
        <f>N275</f>
        <v>960</v>
      </c>
      <c r="Q275" s="21">
        <v>0</v>
      </c>
    </row>
    <row r="276" spans="1:17" s="183" customFormat="1" ht="14.25" customHeight="1">
      <c r="A276" s="23"/>
      <c r="B276" s="15" t="s">
        <v>275</v>
      </c>
      <c r="C276" s="301" t="s">
        <v>302</v>
      </c>
      <c r="D276" s="8"/>
      <c r="E276" s="8">
        <v>43</v>
      </c>
      <c r="F276" s="8">
        <v>0</v>
      </c>
      <c r="G276" s="8">
        <v>7</v>
      </c>
      <c r="H276" s="8">
        <v>100</v>
      </c>
      <c r="I276" s="8">
        <v>0</v>
      </c>
      <c r="J276" s="8">
        <v>0</v>
      </c>
      <c r="K276" s="8">
        <v>240</v>
      </c>
      <c r="L276" s="8"/>
      <c r="M276" s="8"/>
      <c r="N276" s="8">
        <f t="shared" si="40"/>
        <v>240</v>
      </c>
      <c r="O276" s="8">
        <v>0</v>
      </c>
      <c r="P276" s="21">
        <f>N276</f>
        <v>240</v>
      </c>
      <c r="Q276" s="21">
        <v>0</v>
      </c>
    </row>
    <row r="277" spans="1:17" s="183" customFormat="1" ht="22.5" customHeight="1">
      <c r="A277" s="198" t="s">
        <v>468</v>
      </c>
      <c r="B277" s="207"/>
      <c r="C277" s="197" t="s">
        <v>469</v>
      </c>
      <c r="D277" s="169"/>
      <c r="E277" s="169">
        <f>E278</f>
        <v>22260</v>
      </c>
      <c r="F277" s="169">
        <f>F278</f>
        <v>0</v>
      </c>
      <c r="G277" s="169">
        <f>G278</f>
        <v>0</v>
      </c>
      <c r="H277" s="169">
        <f>H278+H279+H280+H281+H282</f>
        <v>39096</v>
      </c>
      <c r="I277" s="169">
        <f>I278+I279+I280+I281+I282</f>
        <v>0</v>
      </c>
      <c r="J277" s="169">
        <f>J278+J279+J280+J281+J282</f>
        <v>0</v>
      </c>
      <c r="K277" s="169">
        <f>K278+K279+K280+K281+K282+K283+K284</f>
        <v>61720</v>
      </c>
      <c r="L277" s="169">
        <f>L278+L279+L280+L281+L282+L283+L284</f>
        <v>2000</v>
      </c>
      <c r="M277" s="169">
        <f>M278+M279+M280+M281+M282+M283+M284</f>
        <v>2000</v>
      </c>
      <c r="N277" s="169">
        <f t="shared" si="40"/>
        <v>61720</v>
      </c>
      <c r="O277" s="169">
        <f>O278+O279+O280+O281+O282+O284</f>
        <v>0</v>
      </c>
      <c r="P277" s="169">
        <f>P278+P279+P280+P281+P282+P283+P284</f>
        <v>49720</v>
      </c>
      <c r="Q277" s="169">
        <f>Q278+Q279+Q280+Q281+Q282+Q284</f>
        <v>12000</v>
      </c>
    </row>
    <row r="278" spans="1:17" s="183" customFormat="1" ht="17.25" customHeight="1">
      <c r="A278" s="23"/>
      <c r="B278" s="15" t="s">
        <v>462</v>
      </c>
      <c r="C278" s="301" t="s">
        <v>703</v>
      </c>
      <c r="D278" s="8"/>
      <c r="E278" s="8">
        <v>22260</v>
      </c>
      <c r="F278" s="8">
        <v>0</v>
      </c>
      <c r="G278" s="8">
        <v>0</v>
      </c>
      <c r="H278" s="17">
        <v>12000</v>
      </c>
      <c r="I278" s="17">
        <v>0</v>
      </c>
      <c r="J278" s="17">
        <v>0</v>
      </c>
      <c r="K278" s="8">
        <v>12000</v>
      </c>
      <c r="L278" s="8"/>
      <c r="M278" s="17"/>
      <c r="N278" s="8">
        <f t="shared" si="40"/>
        <v>12000</v>
      </c>
      <c r="O278" s="8">
        <v>0</v>
      </c>
      <c r="P278" s="21">
        <v>0</v>
      </c>
      <c r="Q278" s="21">
        <f>N278</f>
        <v>12000</v>
      </c>
    </row>
    <row r="279" spans="1:17" s="183" customFormat="1" ht="15" customHeight="1">
      <c r="A279" s="23"/>
      <c r="B279" s="15" t="s">
        <v>129</v>
      </c>
      <c r="C279" s="301" t="s">
        <v>704</v>
      </c>
      <c r="D279" s="8"/>
      <c r="E279" s="8"/>
      <c r="F279" s="8"/>
      <c r="G279" s="8"/>
      <c r="H279" s="17">
        <v>13500</v>
      </c>
      <c r="I279" s="17">
        <v>0</v>
      </c>
      <c r="J279" s="17">
        <v>0</v>
      </c>
      <c r="K279" s="8">
        <v>800</v>
      </c>
      <c r="L279" s="8">
        <v>0</v>
      </c>
      <c r="M279" s="17"/>
      <c r="N279" s="8">
        <f t="shared" si="40"/>
        <v>800</v>
      </c>
      <c r="O279" s="8">
        <v>0</v>
      </c>
      <c r="P279" s="21">
        <f aca="true" t="shared" si="42" ref="P279:P284">N279</f>
        <v>800</v>
      </c>
      <c r="Q279" s="21">
        <v>0</v>
      </c>
    </row>
    <row r="280" spans="1:17" s="183" customFormat="1" ht="16.5" customHeight="1">
      <c r="A280" s="23"/>
      <c r="B280" s="15" t="s">
        <v>265</v>
      </c>
      <c r="C280" s="301" t="s">
        <v>266</v>
      </c>
      <c r="D280" s="8"/>
      <c r="E280" s="8"/>
      <c r="F280" s="8"/>
      <c r="G280" s="8"/>
      <c r="H280" s="17">
        <v>11300</v>
      </c>
      <c r="I280" s="17">
        <v>0</v>
      </c>
      <c r="J280" s="17">
        <v>0</v>
      </c>
      <c r="K280" s="8">
        <v>18720</v>
      </c>
      <c r="L280" s="8"/>
      <c r="M280" s="17"/>
      <c r="N280" s="8">
        <f t="shared" si="40"/>
        <v>18720</v>
      </c>
      <c r="O280" s="8">
        <v>0</v>
      </c>
      <c r="P280" s="21">
        <f t="shared" si="42"/>
        <v>18720</v>
      </c>
      <c r="Q280" s="21">
        <v>0</v>
      </c>
    </row>
    <row r="281" spans="1:17" s="183" customFormat="1" ht="15" customHeight="1">
      <c r="A281" s="23"/>
      <c r="B281" s="15" t="s">
        <v>298</v>
      </c>
      <c r="C281" s="301" t="s">
        <v>342</v>
      </c>
      <c r="D281" s="8"/>
      <c r="E281" s="8"/>
      <c r="F281" s="8"/>
      <c r="G281" s="8"/>
      <c r="H281" s="17">
        <v>2020</v>
      </c>
      <c r="I281" s="17">
        <v>0</v>
      </c>
      <c r="J281" s="17">
        <v>0</v>
      </c>
      <c r="K281" s="8">
        <v>3369</v>
      </c>
      <c r="L281" s="8"/>
      <c r="M281" s="17"/>
      <c r="N281" s="8">
        <f t="shared" si="40"/>
        <v>3369</v>
      </c>
      <c r="O281" s="8">
        <v>0</v>
      </c>
      <c r="P281" s="21">
        <f t="shared" si="42"/>
        <v>3369</v>
      </c>
      <c r="Q281" s="21">
        <v>0</v>
      </c>
    </row>
    <row r="282" spans="1:17" s="183" customFormat="1" ht="15.75" customHeight="1">
      <c r="A282" s="23"/>
      <c r="B282" s="15" t="s">
        <v>273</v>
      </c>
      <c r="C282" s="301" t="s">
        <v>274</v>
      </c>
      <c r="D282" s="8"/>
      <c r="E282" s="8"/>
      <c r="F282" s="8"/>
      <c r="G282" s="8"/>
      <c r="H282" s="17">
        <v>276</v>
      </c>
      <c r="I282" s="17">
        <v>0</v>
      </c>
      <c r="J282" s="17">
        <v>0</v>
      </c>
      <c r="K282" s="8">
        <v>459</v>
      </c>
      <c r="L282" s="8"/>
      <c r="M282" s="17"/>
      <c r="N282" s="8">
        <f t="shared" si="40"/>
        <v>459</v>
      </c>
      <c r="O282" s="8">
        <v>0</v>
      </c>
      <c r="P282" s="21">
        <f t="shared" si="42"/>
        <v>459</v>
      </c>
      <c r="Q282" s="21">
        <v>0</v>
      </c>
    </row>
    <row r="283" spans="1:17" s="183" customFormat="1" ht="15.75" customHeight="1">
      <c r="A283" s="23"/>
      <c r="B283" s="15" t="s">
        <v>97</v>
      </c>
      <c r="C283" s="301" t="s">
        <v>682</v>
      </c>
      <c r="D283" s="8"/>
      <c r="E283" s="8"/>
      <c r="F283" s="8"/>
      <c r="G283" s="8"/>
      <c r="H283" s="17"/>
      <c r="I283" s="17"/>
      <c r="J283" s="17"/>
      <c r="K283" s="8">
        <v>3000</v>
      </c>
      <c r="L283" s="8"/>
      <c r="M283" s="17">
        <v>2000</v>
      </c>
      <c r="N283" s="8">
        <f t="shared" si="40"/>
        <v>1000</v>
      </c>
      <c r="O283" s="8">
        <v>0</v>
      </c>
      <c r="P283" s="21">
        <f t="shared" si="42"/>
        <v>1000</v>
      </c>
      <c r="Q283" s="21">
        <v>0</v>
      </c>
    </row>
    <row r="284" spans="1:17" s="183" customFormat="1" ht="15.75" customHeight="1">
      <c r="A284" s="23"/>
      <c r="B284" s="15" t="s">
        <v>281</v>
      </c>
      <c r="C284" s="251" t="s">
        <v>282</v>
      </c>
      <c r="D284" s="8"/>
      <c r="E284" s="8"/>
      <c r="F284" s="8"/>
      <c r="G284" s="8"/>
      <c r="H284" s="17"/>
      <c r="I284" s="17"/>
      <c r="J284" s="17"/>
      <c r="K284" s="8">
        <v>23372</v>
      </c>
      <c r="L284" s="8">
        <v>2000</v>
      </c>
      <c r="M284" s="17">
        <v>0</v>
      </c>
      <c r="N284" s="8">
        <f t="shared" si="40"/>
        <v>25372</v>
      </c>
      <c r="O284" s="8">
        <v>0</v>
      </c>
      <c r="P284" s="21">
        <f t="shared" si="42"/>
        <v>25372</v>
      </c>
      <c r="Q284" s="21">
        <v>0</v>
      </c>
    </row>
    <row r="285" spans="1:17" s="183" customFormat="1" ht="15.75" customHeight="1">
      <c r="A285" s="198" t="s">
        <v>470</v>
      </c>
      <c r="B285" s="308"/>
      <c r="C285" s="169" t="s">
        <v>344</v>
      </c>
      <c r="D285" s="307"/>
      <c r="E285" s="307"/>
      <c r="F285" s="307"/>
      <c r="G285" s="307"/>
      <c r="H285" s="216"/>
      <c r="I285" s="216"/>
      <c r="J285" s="216"/>
      <c r="K285" s="169">
        <f>K286</f>
        <v>45813</v>
      </c>
      <c r="L285" s="169">
        <f>L286</f>
        <v>0</v>
      </c>
      <c r="M285" s="169">
        <f>M286</f>
        <v>0</v>
      </c>
      <c r="N285" s="169">
        <f t="shared" si="40"/>
        <v>45813</v>
      </c>
      <c r="O285" s="169">
        <f>O286</f>
        <v>0</v>
      </c>
      <c r="P285" s="169">
        <f>P286</f>
        <v>45813</v>
      </c>
      <c r="Q285" s="169">
        <f>Q286</f>
        <v>0</v>
      </c>
    </row>
    <row r="286" spans="1:17" s="183" customFormat="1" ht="15.75" customHeight="1">
      <c r="A286" s="23"/>
      <c r="B286" s="28" t="s">
        <v>287</v>
      </c>
      <c r="C286" s="17" t="s">
        <v>288</v>
      </c>
      <c r="D286" s="8"/>
      <c r="E286" s="8"/>
      <c r="F286" s="8"/>
      <c r="G286" s="8"/>
      <c r="H286" s="17"/>
      <c r="I286" s="17"/>
      <c r="J286" s="17"/>
      <c r="K286" s="8">
        <v>45813</v>
      </c>
      <c r="L286" s="8">
        <v>0</v>
      </c>
      <c r="M286" s="17"/>
      <c r="N286" s="8">
        <f t="shared" si="40"/>
        <v>45813</v>
      </c>
      <c r="O286" s="8">
        <v>0</v>
      </c>
      <c r="P286" s="21">
        <f>N286</f>
        <v>45813</v>
      </c>
      <c r="Q286" s="21">
        <v>0</v>
      </c>
    </row>
    <row r="287" spans="1:17" s="182" customFormat="1" ht="15.75" customHeight="1">
      <c r="A287" s="180" t="s">
        <v>541</v>
      </c>
      <c r="B287" s="177"/>
      <c r="C287" s="174" t="s">
        <v>653</v>
      </c>
      <c r="D287" s="174"/>
      <c r="E287" s="174"/>
      <c r="F287" s="174"/>
      <c r="G287" s="174"/>
      <c r="H287" s="174"/>
      <c r="I287" s="174"/>
      <c r="J287" s="174"/>
      <c r="K287" s="174">
        <f>K288</f>
        <v>97701</v>
      </c>
      <c r="L287" s="174">
        <f>L288</f>
        <v>747</v>
      </c>
      <c r="M287" s="174">
        <f>M288</f>
        <v>747</v>
      </c>
      <c r="N287" s="174">
        <f t="shared" si="40"/>
        <v>97701</v>
      </c>
      <c r="O287" s="174">
        <f>O288</f>
        <v>0</v>
      </c>
      <c r="P287" s="174">
        <f>P288</f>
        <v>97701</v>
      </c>
      <c r="Q287" s="174">
        <f>Q288</f>
        <v>0</v>
      </c>
    </row>
    <row r="288" spans="1:17" s="183" customFormat="1" ht="15.75" customHeight="1">
      <c r="A288" s="198" t="s">
        <v>542</v>
      </c>
      <c r="B288" s="308"/>
      <c r="C288" s="307" t="s">
        <v>543</v>
      </c>
      <c r="D288" s="307"/>
      <c r="E288" s="307"/>
      <c r="F288" s="307"/>
      <c r="G288" s="307"/>
      <c r="H288" s="216"/>
      <c r="I288" s="216"/>
      <c r="J288" s="216"/>
      <c r="K288" s="169">
        <f>SUM(K289:K296)</f>
        <v>97701</v>
      </c>
      <c r="L288" s="169">
        <f>SUM(L289:L296)</f>
        <v>747</v>
      </c>
      <c r="M288" s="169">
        <f>SUM(M289:M296)</f>
        <v>747</v>
      </c>
      <c r="N288" s="169">
        <f t="shared" si="40"/>
        <v>97701</v>
      </c>
      <c r="O288" s="307">
        <v>0</v>
      </c>
      <c r="P288" s="169">
        <f>SUM(P289:P296)</f>
        <v>97701</v>
      </c>
      <c r="Q288" s="307">
        <f>SUM(Q289:Q296)</f>
        <v>0</v>
      </c>
    </row>
    <row r="289" spans="1:17" s="183" customFormat="1" ht="15.75" customHeight="1">
      <c r="A289" s="23"/>
      <c r="B289" s="15" t="s">
        <v>544</v>
      </c>
      <c r="C289" s="251" t="s">
        <v>545</v>
      </c>
      <c r="D289" s="8"/>
      <c r="E289" s="8"/>
      <c r="F289" s="8"/>
      <c r="G289" s="8"/>
      <c r="H289" s="17"/>
      <c r="I289" s="17"/>
      <c r="J289" s="17"/>
      <c r="K289" s="8">
        <v>56400</v>
      </c>
      <c r="L289" s="8">
        <v>0</v>
      </c>
      <c r="M289" s="17"/>
      <c r="N289" s="8">
        <f t="shared" si="40"/>
        <v>56400</v>
      </c>
      <c r="O289" s="8">
        <v>0</v>
      </c>
      <c r="P289" s="21">
        <f>N289</f>
        <v>56400</v>
      </c>
      <c r="Q289" s="21">
        <v>0</v>
      </c>
    </row>
    <row r="290" spans="1:17" s="183" customFormat="1" ht="15.75" customHeight="1">
      <c r="A290" s="23"/>
      <c r="B290" s="15" t="s">
        <v>546</v>
      </c>
      <c r="C290" s="251" t="s">
        <v>545</v>
      </c>
      <c r="D290" s="8"/>
      <c r="E290" s="8"/>
      <c r="F290" s="8"/>
      <c r="G290" s="8"/>
      <c r="H290" s="17"/>
      <c r="I290" s="17"/>
      <c r="J290" s="17"/>
      <c r="K290" s="8">
        <v>31440</v>
      </c>
      <c r="L290" s="8">
        <v>0</v>
      </c>
      <c r="M290" s="17"/>
      <c r="N290" s="8">
        <f t="shared" si="40"/>
        <v>31440</v>
      </c>
      <c r="O290" s="8">
        <v>0</v>
      </c>
      <c r="P290" s="21">
        <f aca="true" t="shared" si="43" ref="P290:P296">N290</f>
        <v>31440</v>
      </c>
      <c r="Q290" s="21">
        <v>0</v>
      </c>
    </row>
    <row r="291" spans="1:17" s="183" customFormat="1" ht="15.75" customHeight="1">
      <c r="A291" s="23"/>
      <c r="B291" s="15" t="s">
        <v>547</v>
      </c>
      <c r="C291" s="251" t="s">
        <v>111</v>
      </c>
      <c r="D291" s="8"/>
      <c r="E291" s="8"/>
      <c r="F291" s="8"/>
      <c r="G291" s="8"/>
      <c r="H291" s="17"/>
      <c r="I291" s="17"/>
      <c r="J291" s="17"/>
      <c r="K291" s="8">
        <v>3690</v>
      </c>
      <c r="L291" s="8">
        <v>0</v>
      </c>
      <c r="M291" s="17"/>
      <c r="N291" s="8">
        <f t="shared" si="40"/>
        <v>3690</v>
      </c>
      <c r="O291" s="8">
        <v>0</v>
      </c>
      <c r="P291" s="21">
        <f t="shared" si="43"/>
        <v>3690</v>
      </c>
      <c r="Q291" s="21">
        <v>0</v>
      </c>
    </row>
    <row r="292" spans="1:17" s="183" customFormat="1" ht="15.75" customHeight="1">
      <c r="A292" s="23"/>
      <c r="B292" s="15" t="s">
        <v>548</v>
      </c>
      <c r="C292" s="251" t="s">
        <v>111</v>
      </c>
      <c r="D292" s="8"/>
      <c r="E292" s="8"/>
      <c r="F292" s="8"/>
      <c r="G292" s="8"/>
      <c r="H292" s="17"/>
      <c r="I292" s="17"/>
      <c r="J292" s="17"/>
      <c r="K292" s="8">
        <v>1230</v>
      </c>
      <c r="L292" s="8">
        <v>0</v>
      </c>
      <c r="M292" s="17"/>
      <c r="N292" s="8">
        <f t="shared" si="40"/>
        <v>1230</v>
      </c>
      <c r="O292" s="8">
        <v>0</v>
      </c>
      <c r="P292" s="21">
        <f t="shared" si="43"/>
        <v>1230</v>
      </c>
      <c r="Q292" s="21">
        <v>0</v>
      </c>
    </row>
    <row r="293" spans="1:17" s="183" customFormat="1" ht="15.75" customHeight="1">
      <c r="A293" s="23"/>
      <c r="B293" s="15" t="s">
        <v>549</v>
      </c>
      <c r="C293" s="251" t="s">
        <v>276</v>
      </c>
      <c r="D293" s="8"/>
      <c r="E293" s="8"/>
      <c r="F293" s="8"/>
      <c r="G293" s="8"/>
      <c r="H293" s="17"/>
      <c r="I293" s="17"/>
      <c r="J293" s="17"/>
      <c r="K293" s="8">
        <v>145</v>
      </c>
      <c r="L293" s="8">
        <v>560</v>
      </c>
      <c r="M293" s="17"/>
      <c r="N293" s="8">
        <f t="shared" si="40"/>
        <v>705</v>
      </c>
      <c r="O293" s="8">
        <v>0</v>
      </c>
      <c r="P293" s="21">
        <f t="shared" si="43"/>
        <v>705</v>
      </c>
      <c r="Q293" s="21">
        <v>0</v>
      </c>
    </row>
    <row r="294" spans="1:17" s="183" customFormat="1" ht="15.75" customHeight="1">
      <c r="A294" s="23"/>
      <c r="B294" s="15" t="s">
        <v>552</v>
      </c>
      <c r="C294" s="251" t="s">
        <v>276</v>
      </c>
      <c r="D294" s="8"/>
      <c r="E294" s="8"/>
      <c r="F294" s="8"/>
      <c r="G294" s="8"/>
      <c r="H294" s="17"/>
      <c r="I294" s="17"/>
      <c r="J294" s="17"/>
      <c r="K294" s="8">
        <v>49</v>
      </c>
      <c r="L294" s="8">
        <v>187</v>
      </c>
      <c r="M294" s="17"/>
      <c r="N294" s="8">
        <f t="shared" si="40"/>
        <v>236</v>
      </c>
      <c r="O294" s="8">
        <v>0</v>
      </c>
      <c r="P294" s="21">
        <f t="shared" si="43"/>
        <v>236</v>
      </c>
      <c r="Q294" s="21">
        <v>0</v>
      </c>
    </row>
    <row r="295" spans="1:17" s="183" customFormat="1" ht="15" customHeight="1">
      <c r="A295" s="23"/>
      <c r="B295" s="15" t="s">
        <v>550</v>
      </c>
      <c r="C295" s="251" t="s">
        <v>399</v>
      </c>
      <c r="D295" s="8"/>
      <c r="E295" s="8"/>
      <c r="F295" s="8"/>
      <c r="G295" s="8"/>
      <c r="H295" s="17"/>
      <c r="I295" s="17"/>
      <c r="J295" s="17"/>
      <c r="K295" s="8">
        <v>3560</v>
      </c>
      <c r="L295" s="8">
        <v>0</v>
      </c>
      <c r="M295" s="17">
        <v>560</v>
      </c>
      <c r="N295" s="8">
        <f t="shared" si="40"/>
        <v>3000</v>
      </c>
      <c r="O295" s="8">
        <v>0</v>
      </c>
      <c r="P295" s="21">
        <f t="shared" si="43"/>
        <v>3000</v>
      </c>
      <c r="Q295" s="21">
        <v>0</v>
      </c>
    </row>
    <row r="296" spans="1:17" s="183" customFormat="1" ht="16.5" customHeight="1">
      <c r="A296" s="23"/>
      <c r="B296" s="15" t="s">
        <v>551</v>
      </c>
      <c r="C296" s="251" t="s">
        <v>399</v>
      </c>
      <c r="D296" s="8"/>
      <c r="E296" s="8"/>
      <c r="F296" s="8"/>
      <c r="G296" s="8"/>
      <c r="H296" s="17"/>
      <c r="I296" s="17"/>
      <c r="J296" s="17"/>
      <c r="K296" s="8">
        <v>1187</v>
      </c>
      <c r="L296" s="8">
        <v>0</v>
      </c>
      <c r="M296" s="17">
        <v>187</v>
      </c>
      <c r="N296" s="8">
        <f t="shared" si="40"/>
        <v>1000</v>
      </c>
      <c r="O296" s="8">
        <v>0</v>
      </c>
      <c r="P296" s="21">
        <f t="shared" si="43"/>
        <v>1000</v>
      </c>
      <c r="Q296" s="21">
        <v>0</v>
      </c>
    </row>
    <row r="297" spans="1:17" s="183" customFormat="1" ht="16.5" customHeight="1">
      <c r="A297" s="173" t="s">
        <v>471</v>
      </c>
      <c r="B297" s="177"/>
      <c r="C297" s="174" t="s">
        <v>472</v>
      </c>
      <c r="D297" s="174" t="e">
        <f>D298+#REF!+#REF!+#REF!+#REF!+D309</f>
        <v>#REF!</v>
      </c>
      <c r="E297" s="174" t="e">
        <f>E298+#REF!+#REF!+#REF!+#REF!+E309</f>
        <v>#REF!</v>
      </c>
      <c r="F297" s="174" t="e">
        <f>F298+#REF!+#REF!+F309</f>
        <v>#REF!</v>
      </c>
      <c r="G297" s="174" t="e">
        <f>G298+#REF!+#REF!+G309</f>
        <v>#REF!</v>
      </c>
      <c r="H297" s="174" t="e">
        <f>H298+#REF!+H309</f>
        <v>#REF!</v>
      </c>
      <c r="I297" s="174" t="e">
        <f>I298+#REF!+I309</f>
        <v>#REF!</v>
      </c>
      <c r="J297" s="174" t="e">
        <f>J298+#REF!+J309</f>
        <v>#REF!</v>
      </c>
      <c r="K297" s="174">
        <f>K298+K303+K309</f>
        <v>3530690</v>
      </c>
      <c r="L297" s="174">
        <f>L298+L303+L309</f>
        <v>0</v>
      </c>
      <c r="M297" s="174">
        <f>M298+M303+M309</f>
        <v>0</v>
      </c>
      <c r="N297" s="174">
        <f t="shared" si="40"/>
        <v>3530690</v>
      </c>
      <c r="O297" s="174">
        <f>O298+O303+O309</f>
        <v>548000</v>
      </c>
      <c r="P297" s="174">
        <f>P298+P303+P309</f>
        <v>2982690</v>
      </c>
      <c r="Q297" s="174">
        <f>Q298+Q303+Q309</f>
        <v>0</v>
      </c>
    </row>
    <row r="298" spans="1:17" s="183" customFormat="1" ht="15" customHeight="1">
      <c r="A298" s="196" t="s">
        <v>473</v>
      </c>
      <c r="B298" s="308"/>
      <c r="C298" s="169" t="s">
        <v>474</v>
      </c>
      <c r="D298" s="169" t="e">
        <f>#REF!+#REF!+#REF!</f>
        <v>#REF!</v>
      </c>
      <c r="E298" s="169" t="e">
        <f>#REF!+#REF!+#REF!+E299</f>
        <v>#REF!</v>
      </c>
      <c r="F298" s="169" t="e">
        <f>#REF!+#REF!+#REF!+F299</f>
        <v>#REF!</v>
      </c>
      <c r="G298" s="169" t="e">
        <f>#REF!+#REF!+#REF!</f>
        <v>#REF!</v>
      </c>
      <c r="H298" s="169" t="e">
        <f>#REF!+H299+H302+H300+H301+#REF!</f>
        <v>#REF!</v>
      </c>
      <c r="I298" s="169" t="e">
        <f>#REF!+I299+I302+I300+I301+#REF!</f>
        <v>#REF!</v>
      </c>
      <c r="J298" s="169" t="e">
        <f>#REF!+J299+J302+J300+J301+#REF!</f>
        <v>#REF!</v>
      </c>
      <c r="K298" s="169">
        <f>SUM(K299:K302)</f>
        <v>2973938</v>
      </c>
      <c r="L298" s="169">
        <f>SUM(L299:L302)</f>
        <v>0</v>
      </c>
      <c r="M298" s="169">
        <f>SUM(M299:M302)</f>
        <v>0</v>
      </c>
      <c r="N298" s="169">
        <f t="shared" si="40"/>
        <v>2973938</v>
      </c>
      <c r="O298" s="169">
        <f>SUM(O299:O302)</f>
        <v>0</v>
      </c>
      <c r="P298" s="169">
        <f>SUM(P299:P302)</f>
        <v>2973938</v>
      </c>
      <c r="Q298" s="169">
        <f>SUM(Q299:Q302)</f>
        <v>0</v>
      </c>
    </row>
    <row r="299" spans="1:17" s="183" customFormat="1" ht="15.75" customHeight="1">
      <c r="A299" s="14"/>
      <c r="B299" s="15" t="s">
        <v>475</v>
      </c>
      <c r="C299" s="26" t="s">
        <v>227</v>
      </c>
      <c r="D299" s="17"/>
      <c r="E299" s="17">
        <v>0</v>
      </c>
      <c r="F299" s="17">
        <v>9135</v>
      </c>
      <c r="G299" s="17">
        <v>0</v>
      </c>
      <c r="H299" s="17">
        <v>100000</v>
      </c>
      <c r="I299" s="17">
        <v>0</v>
      </c>
      <c r="J299" s="17">
        <v>0</v>
      </c>
      <c r="K299" s="17">
        <v>250000</v>
      </c>
      <c r="L299" s="17"/>
      <c r="M299" s="17"/>
      <c r="N299" s="8">
        <f t="shared" si="40"/>
        <v>250000</v>
      </c>
      <c r="O299" s="17">
        <v>0</v>
      </c>
      <c r="P299" s="18">
        <f>N299</f>
        <v>250000</v>
      </c>
      <c r="Q299" s="16">
        <v>0</v>
      </c>
    </row>
    <row r="300" spans="1:17" s="183" customFormat="1" ht="16.5" customHeight="1">
      <c r="A300" s="14"/>
      <c r="B300" s="15" t="s">
        <v>305</v>
      </c>
      <c r="C300" s="129" t="s">
        <v>179</v>
      </c>
      <c r="D300" s="17"/>
      <c r="E300" s="17"/>
      <c r="F300" s="17"/>
      <c r="G300" s="17"/>
      <c r="H300" s="17">
        <v>5011670</v>
      </c>
      <c r="I300" s="17">
        <v>0</v>
      </c>
      <c r="J300" s="17">
        <v>0</v>
      </c>
      <c r="K300" s="17">
        <v>49676</v>
      </c>
      <c r="L300" s="17"/>
      <c r="M300" s="17"/>
      <c r="N300" s="8">
        <f t="shared" si="40"/>
        <v>49676</v>
      </c>
      <c r="O300" s="17">
        <v>0</v>
      </c>
      <c r="P300" s="18">
        <f>N300</f>
        <v>49676</v>
      </c>
      <c r="Q300" s="16">
        <v>0</v>
      </c>
    </row>
    <row r="301" spans="1:17" s="183" customFormat="1" ht="17.25" customHeight="1">
      <c r="A301" s="14"/>
      <c r="B301" s="15" t="s">
        <v>536</v>
      </c>
      <c r="C301" s="129" t="s">
        <v>179</v>
      </c>
      <c r="D301" s="17"/>
      <c r="E301" s="17"/>
      <c r="F301" s="17"/>
      <c r="G301" s="17"/>
      <c r="H301" s="17">
        <v>8600</v>
      </c>
      <c r="I301" s="17">
        <v>0</v>
      </c>
      <c r="J301" s="17">
        <v>0</v>
      </c>
      <c r="K301" s="17">
        <v>1801762</v>
      </c>
      <c r="L301" s="17"/>
      <c r="M301" s="17"/>
      <c r="N301" s="8">
        <f t="shared" si="40"/>
        <v>1801762</v>
      </c>
      <c r="O301" s="17">
        <v>0</v>
      </c>
      <c r="P301" s="18">
        <f>N301</f>
        <v>1801762</v>
      </c>
      <c r="Q301" s="16">
        <v>0</v>
      </c>
    </row>
    <row r="302" spans="1:17" s="183" customFormat="1" ht="16.5" customHeight="1">
      <c r="A302" s="14"/>
      <c r="B302" s="15" t="s">
        <v>694</v>
      </c>
      <c r="C302" s="129" t="s">
        <v>179</v>
      </c>
      <c r="D302" s="17"/>
      <c r="E302" s="17"/>
      <c r="F302" s="17"/>
      <c r="G302" s="17"/>
      <c r="H302" s="17">
        <v>74000</v>
      </c>
      <c r="I302" s="17">
        <v>0</v>
      </c>
      <c r="J302" s="17">
        <v>0</v>
      </c>
      <c r="K302" s="17">
        <v>872500</v>
      </c>
      <c r="L302" s="17"/>
      <c r="M302" s="17"/>
      <c r="N302" s="8">
        <f t="shared" si="40"/>
        <v>872500</v>
      </c>
      <c r="O302" s="17">
        <v>0</v>
      </c>
      <c r="P302" s="18">
        <f>N302</f>
        <v>872500</v>
      </c>
      <c r="Q302" s="16">
        <v>0</v>
      </c>
    </row>
    <row r="303" spans="1:17" s="182" customFormat="1" ht="16.5" customHeight="1">
      <c r="A303" s="196" t="s">
        <v>553</v>
      </c>
      <c r="B303" s="196"/>
      <c r="C303" s="197" t="s">
        <v>554</v>
      </c>
      <c r="D303" s="169"/>
      <c r="E303" s="169"/>
      <c r="F303" s="169"/>
      <c r="G303" s="169"/>
      <c r="H303" s="169"/>
      <c r="I303" s="169"/>
      <c r="J303" s="169"/>
      <c r="K303" s="169">
        <f>SUM(K304:K308)</f>
        <v>8752</v>
      </c>
      <c r="L303" s="169">
        <f>SUM(L304:L308)</f>
        <v>0</v>
      </c>
      <c r="M303" s="169">
        <f>SUM(M304:M308)</f>
        <v>0</v>
      </c>
      <c r="N303" s="169">
        <f t="shared" si="40"/>
        <v>8752</v>
      </c>
      <c r="O303" s="169">
        <f>SUM(O307:O308)</f>
        <v>0</v>
      </c>
      <c r="P303" s="169">
        <f>SUM(P304:P308)</f>
        <v>8752</v>
      </c>
      <c r="Q303" s="169">
        <f>SUM(Q307:Q308)</f>
        <v>0</v>
      </c>
    </row>
    <row r="304" spans="1:17" s="182" customFormat="1" ht="16.5" customHeight="1">
      <c r="A304" s="14"/>
      <c r="B304" s="27" t="s">
        <v>265</v>
      </c>
      <c r="C304" s="301" t="s">
        <v>266</v>
      </c>
      <c r="D304" s="7"/>
      <c r="E304" s="7"/>
      <c r="F304" s="7"/>
      <c r="G304" s="7"/>
      <c r="H304" s="7"/>
      <c r="I304" s="7"/>
      <c r="J304" s="7"/>
      <c r="K304" s="17">
        <v>4156</v>
      </c>
      <c r="L304" s="17"/>
      <c r="M304" s="7"/>
      <c r="N304" s="8">
        <f t="shared" si="40"/>
        <v>4156</v>
      </c>
      <c r="O304" s="17">
        <v>0</v>
      </c>
      <c r="P304" s="17">
        <f>N304</f>
        <v>4156</v>
      </c>
      <c r="Q304" s="17"/>
    </row>
    <row r="305" spans="1:17" s="182" customFormat="1" ht="15.75" customHeight="1">
      <c r="A305" s="14"/>
      <c r="B305" s="27" t="s">
        <v>298</v>
      </c>
      <c r="C305" s="301" t="s">
        <v>342</v>
      </c>
      <c r="D305" s="7"/>
      <c r="E305" s="7"/>
      <c r="F305" s="7"/>
      <c r="G305" s="7"/>
      <c r="H305" s="7"/>
      <c r="I305" s="7"/>
      <c r="J305" s="7"/>
      <c r="K305" s="17">
        <v>756</v>
      </c>
      <c r="L305" s="17"/>
      <c r="M305" s="7"/>
      <c r="N305" s="8">
        <f t="shared" si="40"/>
        <v>756</v>
      </c>
      <c r="O305" s="17">
        <v>0</v>
      </c>
      <c r="P305" s="17">
        <f>N305</f>
        <v>756</v>
      </c>
      <c r="Q305" s="17"/>
    </row>
    <row r="306" spans="1:17" s="182" customFormat="1" ht="17.25" customHeight="1">
      <c r="A306" s="14"/>
      <c r="B306" s="27" t="s">
        <v>273</v>
      </c>
      <c r="C306" s="301" t="s">
        <v>274</v>
      </c>
      <c r="D306" s="7"/>
      <c r="E306" s="7"/>
      <c r="F306" s="7"/>
      <c r="G306" s="7"/>
      <c r="H306" s="7"/>
      <c r="I306" s="7"/>
      <c r="J306" s="7"/>
      <c r="K306" s="17">
        <v>102</v>
      </c>
      <c r="L306" s="17"/>
      <c r="M306" s="7"/>
      <c r="N306" s="8">
        <f t="shared" si="40"/>
        <v>102</v>
      </c>
      <c r="O306" s="17">
        <v>0</v>
      </c>
      <c r="P306" s="17">
        <f>N306</f>
        <v>102</v>
      </c>
      <c r="Q306" s="17"/>
    </row>
    <row r="307" spans="1:17" s="183" customFormat="1" ht="15" customHeight="1">
      <c r="A307" s="25"/>
      <c r="B307" s="25" t="s">
        <v>275</v>
      </c>
      <c r="C307" s="301" t="s">
        <v>276</v>
      </c>
      <c r="D307" s="17"/>
      <c r="E307" s="17"/>
      <c r="F307" s="17"/>
      <c r="G307" s="17"/>
      <c r="H307" s="8"/>
      <c r="I307" s="8"/>
      <c r="J307" s="8"/>
      <c r="K307" s="8">
        <v>3547</v>
      </c>
      <c r="L307" s="8"/>
      <c r="M307" s="8">
        <v>0</v>
      </c>
      <c r="N307" s="8">
        <f t="shared" si="40"/>
        <v>3547</v>
      </c>
      <c r="O307" s="17">
        <v>0</v>
      </c>
      <c r="P307" s="17">
        <f>N307</f>
        <v>3547</v>
      </c>
      <c r="Q307" s="18">
        <v>0</v>
      </c>
    </row>
    <row r="308" spans="1:17" s="183" customFormat="1" ht="17.25" customHeight="1">
      <c r="A308" s="14"/>
      <c r="B308" s="25" t="s">
        <v>287</v>
      </c>
      <c r="C308" s="251" t="s">
        <v>288</v>
      </c>
      <c r="D308" s="17"/>
      <c r="E308" s="17"/>
      <c r="F308" s="17"/>
      <c r="G308" s="17"/>
      <c r="H308" s="8"/>
      <c r="I308" s="8"/>
      <c r="J308" s="8"/>
      <c r="K308" s="8">
        <v>191</v>
      </c>
      <c r="L308" s="8">
        <v>0</v>
      </c>
      <c r="M308" s="8"/>
      <c r="N308" s="8">
        <f t="shared" si="40"/>
        <v>191</v>
      </c>
      <c r="O308" s="17">
        <v>0</v>
      </c>
      <c r="P308" s="17">
        <f>N308</f>
        <v>191</v>
      </c>
      <c r="Q308" s="18"/>
    </row>
    <row r="309" spans="1:17" s="183" customFormat="1" ht="24.75" customHeight="1">
      <c r="A309" s="207" t="s">
        <v>477</v>
      </c>
      <c r="B309" s="309"/>
      <c r="C309" s="197" t="s">
        <v>65</v>
      </c>
      <c r="D309" s="169" t="e">
        <f>#REF!</f>
        <v>#REF!</v>
      </c>
      <c r="E309" s="169" t="e">
        <f>#REF!+E310+#REF!</f>
        <v>#REF!</v>
      </c>
      <c r="F309" s="169" t="e">
        <f>#REF!+F310+#REF!</f>
        <v>#REF!</v>
      </c>
      <c r="G309" s="169" t="e">
        <f>#REF!+G310+#REF!</f>
        <v>#REF!</v>
      </c>
      <c r="H309" s="169">
        <f aca="true" t="shared" si="44" ref="H309:Q309">H310</f>
        <v>363000</v>
      </c>
      <c r="I309" s="169">
        <f t="shared" si="44"/>
        <v>0</v>
      </c>
      <c r="J309" s="169">
        <f t="shared" si="44"/>
        <v>0</v>
      </c>
      <c r="K309" s="169">
        <f>K310</f>
        <v>548000</v>
      </c>
      <c r="L309" s="169">
        <f>L310</f>
        <v>0</v>
      </c>
      <c r="M309" s="169">
        <f>M310</f>
        <v>0</v>
      </c>
      <c r="N309" s="169">
        <f aca="true" t="shared" si="45" ref="N309:N357">K309+L309-M309</f>
        <v>548000</v>
      </c>
      <c r="O309" s="169">
        <f t="shared" si="44"/>
        <v>548000</v>
      </c>
      <c r="P309" s="169">
        <f t="shared" si="44"/>
        <v>0</v>
      </c>
      <c r="Q309" s="169">
        <f t="shared" si="44"/>
        <v>0</v>
      </c>
    </row>
    <row r="310" spans="1:17" s="183" customFormat="1" ht="13.5" customHeight="1">
      <c r="A310" s="20"/>
      <c r="B310" s="25" t="s">
        <v>478</v>
      </c>
      <c r="C310" s="301" t="s">
        <v>479</v>
      </c>
      <c r="D310" s="8"/>
      <c r="E310" s="8">
        <v>47223</v>
      </c>
      <c r="F310" s="8">
        <v>0</v>
      </c>
      <c r="G310" s="8">
        <v>0</v>
      </c>
      <c r="H310" s="8">
        <v>363000</v>
      </c>
      <c r="I310" s="8">
        <v>0</v>
      </c>
      <c r="J310" s="8">
        <v>0</v>
      </c>
      <c r="K310" s="8">
        <v>548000</v>
      </c>
      <c r="L310" s="8">
        <v>0</v>
      </c>
      <c r="M310" s="8"/>
      <c r="N310" s="8">
        <f t="shared" si="45"/>
        <v>548000</v>
      </c>
      <c r="O310" s="8">
        <f>N310</f>
        <v>548000</v>
      </c>
      <c r="P310" s="21">
        <v>0</v>
      </c>
      <c r="Q310" s="21">
        <v>0</v>
      </c>
    </row>
    <row r="311" spans="1:17" s="183" customFormat="1" ht="17.25" customHeight="1">
      <c r="A311" s="173" t="s">
        <v>404</v>
      </c>
      <c r="B311" s="173"/>
      <c r="C311" s="174" t="s">
        <v>411</v>
      </c>
      <c r="D311" s="174" t="e">
        <f>D312+D330+D346+#REF!+D351+#REF!+#REF!+D391</f>
        <v>#REF!</v>
      </c>
      <c r="E311" s="174" t="e">
        <f>E312+E330+E346+#REF!+E351+#REF!+#REF!+#REF!+E391+#REF!</f>
        <v>#REF!</v>
      </c>
      <c r="F311" s="174" t="e">
        <f>F312+F330+F346+#REF!+F351+#REF!+#REF!+#REF!+F391+#REF!</f>
        <v>#REF!</v>
      </c>
      <c r="G311" s="174" t="e">
        <f>G312+G330+G346+#REF!+G351+#REF!+#REF!+#REF!+G391+#REF!</f>
        <v>#REF!</v>
      </c>
      <c r="H311" s="174" t="e">
        <f>H312+H330+H346+#REF!+H351+#REF!+#REF!+#REF!+H391+#REF!</f>
        <v>#REF!</v>
      </c>
      <c r="I311" s="174" t="e">
        <f>I312+I330+I346+#REF!+I351+#REF!+#REF!+#REF!+I391+#REF!</f>
        <v>#REF!</v>
      </c>
      <c r="J311" s="174" t="e">
        <f>J312+J330+J346+#REF!+J351+#REF!+#REF!+#REF!+J391+#REF!</f>
        <v>#REF!</v>
      </c>
      <c r="K311" s="174">
        <f>K312+K330+K346+K351+K364+K376+K379</f>
        <v>3417498</v>
      </c>
      <c r="L311" s="174">
        <f>L312+L330+L346+L351+L364+L376+L379</f>
        <v>2413</v>
      </c>
      <c r="M311" s="174">
        <f>M312+M330+M346+M351+M364+M376+M379</f>
        <v>0</v>
      </c>
      <c r="N311" s="174">
        <f t="shared" si="45"/>
        <v>3419911</v>
      </c>
      <c r="O311" s="174">
        <f>O312+O330+O346+O351+O364+O376+O379</f>
        <v>0</v>
      </c>
      <c r="P311" s="174">
        <f>P312+P330+P346+P351+P364+P376+P379</f>
        <v>3072472</v>
      </c>
      <c r="Q311" s="174">
        <f>Q312+Q330+Q346+Q351+Q364+Q376+Q379</f>
        <v>347439</v>
      </c>
    </row>
    <row r="312" spans="1:17" s="183" customFormat="1" ht="14.25" customHeight="1">
      <c r="A312" s="196" t="s">
        <v>406</v>
      </c>
      <c r="B312" s="196"/>
      <c r="C312" s="197" t="s">
        <v>481</v>
      </c>
      <c r="D312" s="169" t="e">
        <f>D315+D316+D317+#REF!</f>
        <v>#REF!</v>
      </c>
      <c r="E312" s="169" t="e">
        <f>E315+E316+E317+E318+#REF!+E313+#REF!+E314+E320+E321+#REF!+E323+#REF!+E324+E326+E327+E328+#REF!</f>
        <v>#REF!</v>
      </c>
      <c r="F312" s="169" t="e">
        <f>F315+F316+F317+F318+#REF!+F313+#REF!+F314+F320+F321+#REF!+F323+#REF!+F324+F326+F327+F328+#REF!</f>
        <v>#REF!</v>
      </c>
      <c r="G312" s="169" t="e">
        <f>G315+G316+G317+G318+#REF!+G313+#REF!+G314+G320+G321+#REF!+G323+#REF!+G324+G326+G327+G328+#REF!</f>
        <v>#REF!</v>
      </c>
      <c r="H312" s="169" t="e">
        <f>H315+H316+H317+H318+H313+H314+H320+H321+H323+H324+H326+H327+H328+#REF!+H322</f>
        <v>#REF!</v>
      </c>
      <c r="I312" s="169" t="e">
        <f>I315+I316+I317+I318+I313+I314+I320+I321+I323+I324+I326+I327+I328+#REF!+I322</f>
        <v>#REF!</v>
      </c>
      <c r="J312" s="169" t="e">
        <f>J315+J316+J317+J318+J313+J314+J320+J321+J323+J324+J326+J327+J328+#REF!+J322</f>
        <v>#REF!</v>
      </c>
      <c r="K312" s="169">
        <f>SUM(K313:K329)</f>
        <v>1262926</v>
      </c>
      <c r="L312" s="169">
        <f>SUM(L313:L329)</f>
        <v>0</v>
      </c>
      <c r="M312" s="169">
        <f>SUM(M313:M329)</f>
        <v>0</v>
      </c>
      <c r="N312" s="169">
        <f t="shared" si="45"/>
        <v>1262926</v>
      </c>
      <c r="O312" s="169">
        <f>SUM(O313:O329)</f>
        <v>0</v>
      </c>
      <c r="P312" s="169">
        <f>SUM(P313:P329)</f>
        <v>944735</v>
      </c>
      <c r="Q312" s="169">
        <f>SUM(Q313:Q329)</f>
        <v>318191</v>
      </c>
    </row>
    <row r="313" spans="1:17" s="183" customFormat="1" ht="14.25" customHeight="1">
      <c r="A313" s="14"/>
      <c r="B313" s="25" t="s">
        <v>248</v>
      </c>
      <c r="C313" s="251" t="s">
        <v>476</v>
      </c>
      <c r="D313" s="8"/>
      <c r="E313" s="8">
        <v>10492</v>
      </c>
      <c r="F313" s="8">
        <v>0</v>
      </c>
      <c r="G313" s="8">
        <v>0</v>
      </c>
      <c r="H313" s="8">
        <v>2952</v>
      </c>
      <c r="I313" s="8">
        <v>0</v>
      </c>
      <c r="J313" s="8">
        <v>0</v>
      </c>
      <c r="K313" s="8">
        <v>635</v>
      </c>
      <c r="L313" s="8"/>
      <c r="M313" s="8"/>
      <c r="N313" s="8">
        <f t="shared" si="45"/>
        <v>635</v>
      </c>
      <c r="O313" s="8">
        <v>0</v>
      </c>
      <c r="P313" s="21">
        <f>N313</f>
        <v>635</v>
      </c>
      <c r="Q313" s="21">
        <v>0</v>
      </c>
    </row>
    <row r="314" spans="1:17" s="183" customFormat="1" ht="14.25" customHeight="1">
      <c r="A314" s="14"/>
      <c r="B314" s="25" t="s">
        <v>483</v>
      </c>
      <c r="C314" s="251" t="s">
        <v>484</v>
      </c>
      <c r="D314" s="8"/>
      <c r="E314" s="8">
        <v>101199</v>
      </c>
      <c r="F314" s="8">
        <v>0</v>
      </c>
      <c r="G314" s="8">
        <v>0</v>
      </c>
      <c r="H314" s="8">
        <v>103850</v>
      </c>
      <c r="I314" s="8">
        <v>0</v>
      </c>
      <c r="J314" s="8">
        <v>0</v>
      </c>
      <c r="K314" s="8">
        <v>87955</v>
      </c>
      <c r="L314" s="8"/>
      <c r="M314" s="8">
        <v>0</v>
      </c>
      <c r="N314" s="8">
        <f t="shared" si="45"/>
        <v>87955</v>
      </c>
      <c r="O314" s="8">
        <v>0</v>
      </c>
      <c r="P314" s="21">
        <f aca="true" t="shared" si="46" ref="P314:P328">N314</f>
        <v>87955</v>
      </c>
      <c r="Q314" s="21">
        <v>0</v>
      </c>
    </row>
    <row r="315" spans="1:17" s="183" customFormat="1" ht="15" customHeight="1">
      <c r="A315" s="14"/>
      <c r="B315" s="25" t="s">
        <v>265</v>
      </c>
      <c r="C315" s="301" t="s">
        <v>266</v>
      </c>
      <c r="D315" s="8">
        <v>956632</v>
      </c>
      <c r="E315" s="8">
        <v>1089025</v>
      </c>
      <c r="F315" s="8">
        <v>0</v>
      </c>
      <c r="G315" s="8">
        <v>0</v>
      </c>
      <c r="H315" s="8">
        <v>335820</v>
      </c>
      <c r="I315" s="8">
        <v>0</v>
      </c>
      <c r="J315" s="8">
        <v>0</v>
      </c>
      <c r="K315" s="8">
        <v>468578</v>
      </c>
      <c r="L315" s="8">
        <v>0</v>
      </c>
      <c r="M315" s="8">
        <v>0</v>
      </c>
      <c r="N315" s="8">
        <f t="shared" si="45"/>
        <v>468578</v>
      </c>
      <c r="O315" s="8">
        <v>0</v>
      </c>
      <c r="P315" s="21">
        <f t="shared" si="46"/>
        <v>468578</v>
      </c>
      <c r="Q315" s="21">
        <v>0</v>
      </c>
    </row>
    <row r="316" spans="1:17" s="183" customFormat="1" ht="14.25" customHeight="1">
      <c r="A316" s="14"/>
      <c r="B316" s="25" t="s">
        <v>269</v>
      </c>
      <c r="C316" s="301" t="s">
        <v>270</v>
      </c>
      <c r="D316" s="9">
        <v>70520</v>
      </c>
      <c r="E316" s="8">
        <v>77400</v>
      </c>
      <c r="F316" s="8">
        <v>0</v>
      </c>
      <c r="G316" s="8">
        <v>0</v>
      </c>
      <c r="H316" s="8">
        <v>29155</v>
      </c>
      <c r="I316" s="8">
        <v>0</v>
      </c>
      <c r="J316" s="8">
        <v>0</v>
      </c>
      <c r="K316" s="8">
        <v>33919</v>
      </c>
      <c r="L316" s="8">
        <v>0</v>
      </c>
      <c r="M316" s="8"/>
      <c r="N316" s="8">
        <f t="shared" si="45"/>
        <v>33919</v>
      </c>
      <c r="O316" s="8">
        <v>0</v>
      </c>
      <c r="P316" s="21">
        <f t="shared" si="46"/>
        <v>33919</v>
      </c>
      <c r="Q316" s="21">
        <v>0</v>
      </c>
    </row>
    <row r="317" spans="1:17" s="183" customFormat="1" ht="15" customHeight="1">
      <c r="A317" s="14"/>
      <c r="B317" s="22" t="s">
        <v>328</v>
      </c>
      <c r="C317" s="301" t="s">
        <v>342</v>
      </c>
      <c r="D317" s="8">
        <v>208573</v>
      </c>
      <c r="E317" s="8">
        <v>207904</v>
      </c>
      <c r="F317" s="8">
        <v>0</v>
      </c>
      <c r="G317" s="8">
        <v>0</v>
      </c>
      <c r="H317" s="8">
        <v>65200</v>
      </c>
      <c r="I317" s="8">
        <v>0</v>
      </c>
      <c r="J317" s="8">
        <v>0</v>
      </c>
      <c r="K317" s="8">
        <v>78364</v>
      </c>
      <c r="L317" s="8"/>
      <c r="M317" s="8">
        <v>0</v>
      </c>
      <c r="N317" s="8">
        <f t="shared" si="45"/>
        <v>78364</v>
      </c>
      <c r="O317" s="8">
        <v>0</v>
      </c>
      <c r="P317" s="21">
        <f t="shared" si="46"/>
        <v>78364</v>
      </c>
      <c r="Q317" s="21">
        <v>0</v>
      </c>
    </row>
    <row r="318" spans="1:17" s="183" customFormat="1" ht="13.5" customHeight="1">
      <c r="A318" s="14"/>
      <c r="B318" s="22" t="s">
        <v>273</v>
      </c>
      <c r="C318" s="301" t="s">
        <v>274</v>
      </c>
      <c r="D318" s="8"/>
      <c r="E318" s="8">
        <v>27489</v>
      </c>
      <c r="F318" s="8">
        <v>0</v>
      </c>
      <c r="G318" s="8">
        <v>0</v>
      </c>
      <c r="H318" s="8">
        <v>8940</v>
      </c>
      <c r="I318" s="8">
        <v>0</v>
      </c>
      <c r="J318" s="8">
        <v>0</v>
      </c>
      <c r="K318" s="8">
        <v>10851</v>
      </c>
      <c r="L318" s="8"/>
      <c r="M318" s="8">
        <v>0</v>
      </c>
      <c r="N318" s="8">
        <f t="shared" si="45"/>
        <v>10851</v>
      </c>
      <c r="O318" s="8">
        <v>0</v>
      </c>
      <c r="P318" s="21">
        <f t="shared" si="46"/>
        <v>10851</v>
      </c>
      <c r="Q318" s="21">
        <v>0</v>
      </c>
    </row>
    <row r="319" spans="1:17" s="183" customFormat="1" ht="13.5" customHeight="1">
      <c r="A319" s="14"/>
      <c r="B319" s="22" t="s">
        <v>97</v>
      </c>
      <c r="C319" s="251" t="s">
        <v>111</v>
      </c>
      <c r="D319" s="8"/>
      <c r="E319" s="8"/>
      <c r="F319" s="8"/>
      <c r="G319" s="8"/>
      <c r="H319" s="8"/>
      <c r="I319" s="8"/>
      <c r="J319" s="8"/>
      <c r="K319" s="8">
        <v>1600</v>
      </c>
      <c r="L319" s="8">
        <v>0</v>
      </c>
      <c r="M319" s="8"/>
      <c r="N319" s="8">
        <f t="shared" si="45"/>
        <v>1600</v>
      </c>
      <c r="O319" s="8"/>
      <c r="P319" s="21">
        <f t="shared" si="46"/>
        <v>1600</v>
      </c>
      <c r="Q319" s="21"/>
    </row>
    <row r="320" spans="1:17" s="183" customFormat="1" ht="14.25" customHeight="1">
      <c r="A320" s="14"/>
      <c r="B320" s="25" t="s">
        <v>275</v>
      </c>
      <c r="C320" s="251" t="s">
        <v>443</v>
      </c>
      <c r="D320" s="8"/>
      <c r="E320" s="8">
        <v>96956</v>
      </c>
      <c r="F320" s="8">
        <v>0</v>
      </c>
      <c r="G320" s="8">
        <v>0</v>
      </c>
      <c r="H320" s="8">
        <v>36573</v>
      </c>
      <c r="I320" s="8">
        <v>0</v>
      </c>
      <c r="J320" s="8">
        <v>0</v>
      </c>
      <c r="K320" s="8">
        <v>51091</v>
      </c>
      <c r="L320" s="8">
        <v>0</v>
      </c>
      <c r="M320" s="8">
        <v>0</v>
      </c>
      <c r="N320" s="8">
        <f t="shared" si="45"/>
        <v>51091</v>
      </c>
      <c r="O320" s="8">
        <v>0</v>
      </c>
      <c r="P320" s="21">
        <f t="shared" si="46"/>
        <v>51091</v>
      </c>
      <c r="Q320" s="21">
        <v>0</v>
      </c>
    </row>
    <row r="321" spans="1:17" s="183" customFormat="1" ht="16.5" customHeight="1">
      <c r="A321" s="14"/>
      <c r="B321" s="25" t="s">
        <v>393</v>
      </c>
      <c r="C321" s="251" t="s">
        <v>485</v>
      </c>
      <c r="D321" s="8"/>
      <c r="E321" s="8">
        <v>188099</v>
      </c>
      <c r="F321" s="8">
        <v>0</v>
      </c>
      <c r="G321" s="8">
        <v>0</v>
      </c>
      <c r="H321" s="17">
        <v>50136</v>
      </c>
      <c r="I321" s="8">
        <v>0</v>
      </c>
      <c r="J321" s="8">
        <v>0</v>
      </c>
      <c r="K321" s="8">
        <v>63000</v>
      </c>
      <c r="L321" s="8"/>
      <c r="M321" s="8"/>
      <c r="N321" s="8">
        <f t="shared" si="45"/>
        <v>63000</v>
      </c>
      <c r="O321" s="8">
        <v>0</v>
      </c>
      <c r="P321" s="21">
        <f t="shared" si="46"/>
        <v>63000</v>
      </c>
      <c r="Q321" s="21">
        <v>0</v>
      </c>
    </row>
    <row r="322" spans="1:17" s="183" customFormat="1" ht="15.75" customHeight="1">
      <c r="A322" s="14"/>
      <c r="B322" s="25" t="s">
        <v>488</v>
      </c>
      <c r="C322" s="251" t="s">
        <v>489</v>
      </c>
      <c r="D322" s="8"/>
      <c r="E322" s="8"/>
      <c r="F322" s="8"/>
      <c r="G322" s="8"/>
      <c r="H322" s="17">
        <v>1500</v>
      </c>
      <c r="I322" s="8">
        <v>0</v>
      </c>
      <c r="J322" s="8">
        <v>0</v>
      </c>
      <c r="K322" s="8">
        <v>2400</v>
      </c>
      <c r="L322" s="8"/>
      <c r="M322" s="8"/>
      <c r="N322" s="8">
        <f t="shared" si="45"/>
        <v>2400</v>
      </c>
      <c r="O322" s="8">
        <v>0</v>
      </c>
      <c r="P322" s="21">
        <f t="shared" si="46"/>
        <v>2400</v>
      </c>
      <c r="Q322" s="21">
        <v>0</v>
      </c>
    </row>
    <row r="323" spans="1:17" s="183" customFormat="1" ht="16.5" customHeight="1">
      <c r="A323" s="14"/>
      <c r="B323" s="25" t="s">
        <v>277</v>
      </c>
      <c r="C323" s="251" t="s">
        <v>397</v>
      </c>
      <c r="D323" s="8"/>
      <c r="E323" s="8">
        <v>82690</v>
      </c>
      <c r="F323" s="8">
        <v>0</v>
      </c>
      <c r="G323" s="8">
        <v>0</v>
      </c>
      <c r="H323" s="8">
        <v>63330</v>
      </c>
      <c r="I323" s="8">
        <v>0</v>
      </c>
      <c r="J323" s="8">
        <v>0</v>
      </c>
      <c r="K323" s="8">
        <v>88024</v>
      </c>
      <c r="L323" s="8"/>
      <c r="M323" s="8">
        <v>0</v>
      </c>
      <c r="N323" s="8">
        <f t="shared" si="45"/>
        <v>88024</v>
      </c>
      <c r="O323" s="8">
        <v>0</v>
      </c>
      <c r="P323" s="21">
        <f t="shared" si="46"/>
        <v>88024</v>
      </c>
      <c r="Q323" s="21">
        <v>0</v>
      </c>
    </row>
    <row r="324" spans="1:17" s="183" customFormat="1" ht="16.5" customHeight="1">
      <c r="A324" s="14"/>
      <c r="B324" s="25" t="s">
        <v>281</v>
      </c>
      <c r="C324" s="251" t="s">
        <v>399</v>
      </c>
      <c r="D324" s="8"/>
      <c r="E324" s="8">
        <v>39235</v>
      </c>
      <c r="F324" s="8">
        <v>0</v>
      </c>
      <c r="G324" s="8">
        <v>0</v>
      </c>
      <c r="H324" s="8">
        <v>8500</v>
      </c>
      <c r="I324" s="8">
        <v>0</v>
      </c>
      <c r="J324" s="8">
        <v>0</v>
      </c>
      <c r="K324" s="8">
        <v>22260</v>
      </c>
      <c r="L324" s="8"/>
      <c r="M324" s="8"/>
      <c r="N324" s="8">
        <f t="shared" si="45"/>
        <v>22260</v>
      </c>
      <c r="O324" s="8">
        <v>0</v>
      </c>
      <c r="P324" s="21">
        <f t="shared" si="46"/>
        <v>22260</v>
      </c>
      <c r="Q324" s="21">
        <v>0</v>
      </c>
    </row>
    <row r="325" spans="1:17" s="183" customFormat="1" ht="16.5" customHeight="1">
      <c r="A325" s="14"/>
      <c r="B325" s="25" t="s">
        <v>112</v>
      </c>
      <c r="C325" s="251" t="s">
        <v>555</v>
      </c>
      <c r="D325" s="8"/>
      <c r="E325" s="8"/>
      <c r="F325" s="8"/>
      <c r="G325" s="8"/>
      <c r="H325" s="8"/>
      <c r="I325" s="8"/>
      <c r="J325" s="8"/>
      <c r="K325" s="8">
        <v>1908</v>
      </c>
      <c r="L325" s="8"/>
      <c r="M325" s="8"/>
      <c r="N325" s="8">
        <f t="shared" si="45"/>
        <v>1908</v>
      </c>
      <c r="O325" s="8">
        <v>0</v>
      </c>
      <c r="P325" s="21">
        <f t="shared" si="46"/>
        <v>1908</v>
      </c>
      <c r="Q325" s="21">
        <v>0</v>
      </c>
    </row>
    <row r="326" spans="1:17" s="183" customFormat="1" ht="16.5" customHeight="1">
      <c r="A326" s="14"/>
      <c r="B326" s="25" t="s">
        <v>283</v>
      </c>
      <c r="C326" s="251" t="s">
        <v>284</v>
      </c>
      <c r="D326" s="8"/>
      <c r="E326" s="8">
        <v>2500</v>
      </c>
      <c r="F326" s="8">
        <v>0</v>
      </c>
      <c r="G326" s="8">
        <v>0</v>
      </c>
      <c r="H326" s="8">
        <v>500</v>
      </c>
      <c r="I326" s="8">
        <v>0</v>
      </c>
      <c r="J326" s="8">
        <v>0</v>
      </c>
      <c r="K326" s="8">
        <v>2300</v>
      </c>
      <c r="L326" s="8"/>
      <c r="M326" s="8"/>
      <c r="N326" s="8">
        <f t="shared" si="45"/>
        <v>2300</v>
      </c>
      <c r="O326" s="8">
        <v>0</v>
      </c>
      <c r="P326" s="21">
        <f t="shared" si="46"/>
        <v>2300</v>
      </c>
      <c r="Q326" s="21">
        <v>0</v>
      </c>
    </row>
    <row r="327" spans="1:17" s="183" customFormat="1" ht="16.5" customHeight="1">
      <c r="A327" s="14"/>
      <c r="B327" s="25" t="s">
        <v>285</v>
      </c>
      <c r="C327" s="251" t="s">
        <v>286</v>
      </c>
      <c r="D327" s="8"/>
      <c r="E327" s="8">
        <v>3300</v>
      </c>
      <c r="F327" s="8">
        <v>0</v>
      </c>
      <c r="G327" s="8">
        <v>0</v>
      </c>
      <c r="H327" s="8">
        <v>700</v>
      </c>
      <c r="I327" s="8">
        <v>0</v>
      </c>
      <c r="J327" s="8">
        <v>0</v>
      </c>
      <c r="K327" s="8">
        <v>720</v>
      </c>
      <c r="L327" s="8"/>
      <c r="M327" s="8"/>
      <c r="N327" s="8">
        <f t="shared" si="45"/>
        <v>720</v>
      </c>
      <c r="O327" s="8">
        <v>0</v>
      </c>
      <c r="P327" s="21">
        <f t="shared" si="46"/>
        <v>720</v>
      </c>
      <c r="Q327" s="21">
        <v>0</v>
      </c>
    </row>
    <row r="328" spans="1:17" s="183" customFormat="1" ht="14.25" customHeight="1">
      <c r="A328" s="14"/>
      <c r="B328" s="25" t="s">
        <v>287</v>
      </c>
      <c r="C328" s="251" t="s">
        <v>288</v>
      </c>
      <c r="D328" s="8"/>
      <c r="E328" s="8">
        <v>50719</v>
      </c>
      <c r="F328" s="8">
        <v>0</v>
      </c>
      <c r="G328" s="8">
        <v>0</v>
      </c>
      <c r="H328" s="8">
        <v>14000</v>
      </c>
      <c r="I328" s="8">
        <v>0</v>
      </c>
      <c r="J328" s="8">
        <v>0</v>
      </c>
      <c r="K328" s="8">
        <v>31130</v>
      </c>
      <c r="L328" s="8">
        <v>0</v>
      </c>
      <c r="M328" s="8"/>
      <c r="N328" s="8">
        <f t="shared" si="45"/>
        <v>31130</v>
      </c>
      <c r="O328" s="8">
        <v>0</v>
      </c>
      <c r="P328" s="21">
        <f t="shared" si="46"/>
        <v>31130</v>
      </c>
      <c r="Q328" s="21">
        <v>0</v>
      </c>
    </row>
    <row r="329" spans="1:17" s="183" customFormat="1" ht="21.75" customHeight="1">
      <c r="A329" s="14"/>
      <c r="B329" s="25" t="s">
        <v>462</v>
      </c>
      <c r="C329" s="275" t="s">
        <v>688</v>
      </c>
      <c r="D329" s="8"/>
      <c r="E329" s="8"/>
      <c r="F329" s="8"/>
      <c r="G329" s="8"/>
      <c r="H329" s="8"/>
      <c r="I329" s="8"/>
      <c r="J329" s="8"/>
      <c r="K329" s="8">
        <v>318191</v>
      </c>
      <c r="L329" s="8">
        <v>0</v>
      </c>
      <c r="M329" s="8"/>
      <c r="N329" s="8">
        <f t="shared" si="45"/>
        <v>318191</v>
      </c>
      <c r="O329" s="8">
        <v>0</v>
      </c>
      <c r="P329" s="21">
        <v>0</v>
      </c>
      <c r="Q329" s="21">
        <f>N329</f>
        <v>318191</v>
      </c>
    </row>
    <row r="330" spans="1:17" s="183" customFormat="1" ht="15.75" customHeight="1">
      <c r="A330" s="196" t="s">
        <v>407</v>
      </c>
      <c r="B330" s="196"/>
      <c r="C330" s="197" t="s">
        <v>487</v>
      </c>
      <c r="D330" s="169">
        <f>D331+D332+D333+D334</f>
        <v>722000</v>
      </c>
      <c r="E330" s="169" t="e">
        <f>E331+E332+E333+E334+#REF!+E341+E335+E336+E337+E338+#REF!+E340+#REF!+E342+E343+E344</f>
        <v>#REF!</v>
      </c>
      <c r="F330" s="169" t="e">
        <f>F331+F332+F333+F334+#REF!+F341+F335+F336+F337+F338+#REF!+F340+#REF!+F342+F343+F344</f>
        <v>#REF!</v>
      </c>
      <c r="G330" s="169" t="e">
        <f>G331+G332+G333+G334+#REF!+G341+G335+G336+G337+G338+#REF!+G340+#REF!+G342+G343+G344</f>
        <v>#REF!</v>
      </c>
      <c r="H330" s="169" t="e">
        <f>H331+H332+H333+H334+#REF!+H341+H335+H336+H337+H338+H340+#REF!+H342+H343+H344+H345+H339</f>
        <v>#REF!</v>
      </c>
      <c r="I330" s="169" t="e">
        <f>I331+I332+I333+I334+#REF!+I341+I335+I336+I337+I338+I340+#REF!+I342+I343+I344+I345+I339</f>
        <v>#REF!</v>
      </c>
      <c r="J330" s="169" t="e">
        <f>J331+J332+J333+J334+#REF!+J341+J335+J336+J337+J338+J340+#REF!+J342+J343+J344+J345+J339</f>
        <v>#REF!</v>
      </c>
      <c r="K330" s="169">
        <f>SUM(K331:K345)</f>
        <v>915623</v>
      </c>
      <c r="L330" s="169">
        <f>SUM(L331:L345)</f>
        <v>2413</v>
      </c>
      <c r="M330" s="169">
        <f>SUM(M331:M345)</f>
        <v>0</v>
      </c>
      <c r="N330" s="169">
        <f t="shared" si="45"/>
        <v>918036</v>
      </c>
      <c r="O330" s="169">
        <f>SUM(O331:O345)</f>
        <v>0</v>
      </c>
      <c r="P330" s="169">
        <f>SUM(P331:P345)</f>
        <v>918036</v>
      </c>
      <c r="Q330" s="169">
        <f>SUM(Q331:Q345)</f>
        <v>0</v>
      </c>
    </row>
    <row r="331" spans="1:17" s="183" customFormat="1" ht="18.75" customHeight="1">
      <c r="A331" s="20"/>
      <c r="B331" s="25" t="s">
        <v>265</v>
      </c>
      <c r="C331" s="301" t="s">
        <v>266</v>
      </c>
      <c r="D331" s="8">
        <v>365300</v>
      </c>
      <c r="E331" s="8">
        <v>330000</v>
      </c>
      <c r="F331" s="8">
        <v>17400</v>
      </c>
      <c r="G331" s="8">
        <v>0</v>
      </c>
      <c r="H331" s="8">
        <v>350982</v>
      </c>
      <c r="I331" s="8">
        <v>0</v>
      </c>
      <c r="J331" s="8">
        <v>0</v>
      </c>
      <c r="K331" s="8">
        <v>393290</v>
      </c>
      <c r="L331" s="8"/>
      <c r="M331" s="8"/>
      <c r="N331" s="8">
        <f t="shared" si="45"/>
        <v>393290</v>
      </c>
      <c r="O331" s="8">
        <v>0</v>
      </c>
      <c r="P331" s="21">
        <f>N331</f>
        <v>393290</v>
      </c>
      <c r="Q331" s="21">
        <v>0</v>
      </c>
    </row>
    <row r="332" spans="1:17" s="183" customFormat="1" ht="18" customHeight="1">
      <c r="A332" s="20"/>
      <c r="B332" s="25" t="s">
        <v>269</v>
      </c>
      <c r="C332" s="301" t="s">
        <v>270</v>
      </c>
      <c r="D332" s="8">
        <v>30580</v>
      </c>
      <c r="E332" s="8">
        <v>31050</v>
      </c>
      <c r="F332" s="8">
        <v>0</v>
      </c>
      <c r="G332" s="8">
        <v>0</v>
      </c>
      <c r="H332" s="8">
        <v>23796</v>
      </c>
      <c r="I332" s="8">
        <v>0</v>
      </c>
      <c r="J332" s="8">
        <v>0</v>
      </c>
      <c r="K332" s="8">
        <v>30088</v>
      </c>
      <c r="L332" s="8"/>
      <c r="M332" s="8">
        <v>0</v>
      </c>
      <c r="N332" s="8">
        <f t="shared" si="45"/>
        <v>30088</v>
      </c>
      <c r="O332" s="8">
        <v>0</v>
      </c>
      <c r="P332" s="21">
        <f aca="true" t="shared" si="47" ref="P332:P345">N332</f>
        <v>30088</v>
      </c>
      <c r="Q332" s="21">
        <v>0</v>
      </c>
    </row>
    <row r="333" spans="1:17" s="183" customFormat="1" ht="17.25" customHeight="1">
      <c r="A333" s="20"/>
      <c r="B333" s="22" t="s">
        <v>328</v>
      </c>
      <c r="C333" s="301" t="s">
        <v>342</v>
      </c>
      <c r="D333" s="8">
        <v>77860</v>
      </c>
      <c r="E333" s="8">
        <v>64495</v>
      </c>
      <c r="F333" s="8">
        <v>0</v>
      </c>
      <c r="G333" s="8">
        <v>0</v>
      </c>
      <c r="H333" s="8">
        <v>73896</v>
      </c>
      <c r="I333" s="8">
        <v>0</v>
      </c>
      <c r="J333" s="8">
        <v>0</v>
      </c>
      <c r="K333" s="8">
        <v>68809</v>
      </c>
      <c r="L333" s="8"/>
      <c r="M333" s="8">
        <v>0</v>
      </c>
      <c r="N333" s="8">
        <f t="shared" si="45"/>
        <v>68809</v>
      </c>
      <c r="O333" s="8">
        <v>0</v>
      </c>
      <c r="P333" s="21">
        <f t="shared" si="47"/>
        <v>68809</v>
      </c>
      <c r="Q333" s="21">
        <v>0</v>
      </c>
    </row>
    <row r="334" spans="1:17" s="183" customFormat="1" ht="18" customHeight="1">
      <c r="A334" s="20"/>
      <c r="B334" s="25" t="s">
        <v>273</v>
      </c>
      <c r="C334" s="251" t="s">
        <v>274</v>
      </c>
      <c r="D334" s="8">
        <v>248260</v>
      </c>
      <c r="E334" s="8">
        <v>8850</v>
      </c>
      <c r="F334" s="8">
        <v>0</v>
      </c>
      <c r="G334" s="8">
        <v>0</v>
      </c>
      <c r="H334" s="8">
        <v>9182</v>
      </c>
      <c r="I334" s="8">
        <v>0</v>
      </c>
      <c r="J334" s="8">
        <v>0</v>
      </c>
      <c r="K334" s="8">
        <v>9510</v>
      </c>
      <c r="L334" s="8"/>
      <c r="M334" s="8">
        <v>0</v>
      </c>
      <c r="N334" s="8">
        <f t="shared" si="45"/>
        <v>9510</v>
      </c>
      <c r="O334" s="8">
        <v>0</v>
      </c>
      <c r="P334" s="21">
        <f t="shared" si="47"/>
        <v>9510</v>
      </c>
      <c r="Q334" s="21">
        <v>0</v>
      </c>
    </row>
    <row r="335" spans="1:17" s="183" customFormat="1" ht="19.5" customHeight="1">
      <c r="A335" s="20"/>
      <c r="B335" s="25" t="s">
        <v>275</v>
      </c>
      <c r="C335" s="251" t="s">
        <v>443</v>
      </c>
      <c r="D335" s="8"/>
      <c r="E335" s="8">
        <v>6795</v>
      </c>
      <c r="F335" s="8">
        <v>474</v>
      </c>
      <c r="G335" s="8">
        <v>0</v>
      </c>
      <c r="H335" s="17">
        <v>21937</v>
      </c>
      <c r="I335" s="8">
        <v>0</v>
      </c>
      <c r="J335" s="8">
        <v>0</v>
      </c>
      <c r="K335" s="8">
        <v>72397</v>
      </c>
      <c r="L335" s="8">
        <v>0</v>
      </c>
      <c r="M335" s="8"/>
      <c r="N335" s="8">
        <f t="shared" si="45"/>
        <v>72397</v>
      </c>
      <c r="O335" s="8">
        <v>0</v>
      </c>
      <c r="P335" s="21">
        <f t="shared" si="47"/>
        <v>72397</v>
      </c>
      <c r="Q335" s="21">
        <v>0</v>
      </c>
    </row>
    <row r="336" spans="1:17" s="183" customFormat="1" ht="17.25" customHeight="1">
      <c r="A336" s="20"/>
      <c r="B336" s="25" t="s">
        <v>393</v>
      </c>
      <c r="C336" s="251" t="s">
        <v>485</v>
      </c>
      <c r="D336" s="8"/>
      <c r="E336" s="8">
        <v>40000</v>
      </c>
      <c r="F336" s="8">
        <v>10000</v>
      </c>
      <c r="G336" s="8">
        <v>0</v>
      </c>
      <c r="H336" s="17">
        <v>76000</v>
      </c>
      <c r="I336" s="8">
        <v>0</v>
      </c>
      <c r="J336" s="8">
        <v>0</v>
      </c>
      <c r="K336" s="8">
        <v>1000</v>
      </c>
      <c r="L336" s="8"/>
      <c r="M336" s="8"/>
      <c r="N336" s="8">
        <f t="shared" si="45"/>
        <v>1000</v>
      </c>
      <c r="O336" s="8">
        <v>0</v>
      </c>
      <c r="P336" s="21">
        <f t="shared" si="47"/>
        <v>1000</v>
      </c>
      <c r="Q336" s="21">
        <v>0</v>
      </c>
    </row>
    <row r="337" spans="1:17" s="183" customFormat="1" ht="15.75" customHeight="1">
      <c r="A337" s="20"/>
      <c r="B337" s="25" t="s">
        <v>488</v>
      </c>
      <c r="C337" s="251" t="s">
        <v>489</v>
      </c>
      <c r="D337" s="8"/>
      <c r="E337" s="8">
        <v>4000</v>
      </c>
      <c r="F337" s="8">
        <v>0</v>
      </c>
      <c r="G337" s="8">
        <v>0</v>
      </c>
      <c r="H337" s="17">
        <v>5800</v>
      </c>
      <c r="I337" s="8">
        <v>0</v>
      </c>
      <c r="J337" s="8">
        <v>0</v>
      </c>
      <c r="K337" s="8">
        <v>7500</v>
      </c>
      <c r="L337" s="8"/>
      <c r="M337" s="8"/>
      <c r="N337" s="8">
        <f t="shared" si="45"/>
        <v>7500</v>
      </c>
      <c r="O337" s="8">
        <v>0</v>
      </c>
      <c r="P337" s="21">
        <f t="shared" si="47"/>
        <v>7500</v>
      </c>
      <c r="Q337" s="21">
        <v>0</v>
      </c>
    </row>
    <row r="338" spans="1:17" s="183" customFormat="1" ht="18.75" customHeight="1">
      <c r="A338" s="20"/>
      <c r="B338" s="25" t="s">
        <v>277</v>
      </c>
      <c r="C338" s="251" t="s">
        <v>397</v>
      </c>
      <c r="D338" s="8"/>
      <c r="E338" s="8">
        <v>62480</v>
      </c>
      <c r="F338" s="8">
        <v>4000</v>
      </c>
      <c r="G338" s="8">
        <v>0</v>
      </c>
      <c r="H338" s="17">
        <v>89314</v>
      </c>
      <c r="I338" s="8">
        <v>0</v>
      </c>
      <c r="J338" s="8">
        <v>0</v>
      </c>
      <c r="K338" s="8">
        <v>46340</v>
      </c>
      <c r="L338" s="8"/>
      <c r="M338" s="8"/>
      <c r="N338" s="8">
        <f t="shared" si="45"/>
        <v>46340</v>
      </c>
      <c r="O338" s="8">
        <v>0</v>
      </c>
      <c r="P338" s="21">
        <f t="shared" si="47"/>
        <v>46340</v>
      </c>
      <c r="Q338" s="21">
        <v>0</v>
      </c>
    </row>
    <row r="339" spans="1:17" s="183" customFormat="1" ht="17.25" customHeight="1">
      <c r="A339" s="20"/>
      <c r="B339" s="25" t="s">
        <v>112</v>
      </c>
      <c r="C339" s="251" t="s">
        <v>113</v>
      </c>
      <c r="D339" s="8"/>
      <c r="E339" s="8"/>
      <c r="F339" s="8"/>
      <c r="G339" s="8"/>
      <c r="H339" s="17">
        <v>7119</v>
      </c>
      <c r="I339" s="8">
        <v>0</v>
      </c>
      <c r="J339" s="8">
        <v>0</v>
      </c>
      <c r="K339" s="8">
        <v>500</v>
      </c>
      <c r="L339" s="8"/>
      <c r="M339" s="8"/>
      <c r="N339" s="8">
        <f t="shared" si="45"/>
        <v>500</v>
      </c>
      <c r="O339" s="8">
        <v>0</v>
      </c>
      <c r="P339" s="21">
        <f t="shared" si="47"/>
        <v>500</v>
      </c>
      <c r="Q339" s="21">
        <v>0</v>
      </c>
    </row>
    <row r="340" spans="1:17" s="183" customFormat="1" ht="17.25" customHeight="1">
      <c r="A340" s="20"/>
      <c r="B340" s="25" t="s">
        <v>281</v>
      </c>
      <c r="C340" s="251" t="s">
        <v>399</v>
      </c>
      <c r="D340" s="8"/>
      <c r="E340" s="8">
        <v>5000</v>
      </c>
      <c r="F340" s="8">
        <v>0</v>
      </c>
      <c r="G340" s="8">
        <v>0</v>
      </c>
      <c r="H340" s="17">
        <v>32500</v>
      </c>
      <c r="I340" s="8">
        <v>0</v>
      </c>
      <c r="J340" s="8">
        <v>0</v>
      </c>
      <c r="K340" s="8">
        <v>155650</v>
      </c>
      <c r="L340" s="8"/>
      <c r="M340" s="8"/>
      <c r="N340" s="8">
        <f t="shared" si="45"/>
        <v>155650</v>
      </c>
      <c r="O340" s="8">
        <v>0</v>
      </c>
      <c r="P340" s="21">
        <f t="shared" si="47"/>
        <v>155650</v>
      </c>
      <c r="Q340" s="21">
        <v>0</v>
      </c>
    </row>
    <row r="341" spans="1:17" s="183" customFormat="1" ht="15.75" customHeight="1">
      <c r="A341" s="20"/>
      <c r="B341" s="25" t="s">
        <v>283</v>
      </c>
      <c r="C341" s="251" t="s">
        <v>284</v>
      </c>
      <c r="D341" s="8"/>
      <c r="E341" s="8">
        <v>1000</v>
      </c>
      <c r="F341" s="8">
        <v>0</v>
      </c>
      <c r="G341" s="8">
        <v>0</v>
      </c>
      <c r="H341" s="17">
        <v>1050</v>
      </c>
      <c r="I341" s="8">
        <v>0</v>
      </c>
      <c r="J341" s="8">
        <v>0</v>
      </c>
      <c r="K341" s="8">
        <v>800</v>
      </c>
      <c r="L341" s="8"/>
      <c r="M341" s="8"/>
      <c r="N341" s="8">
        <f t="shared" si="45"/>
        <v>800</v>
      </c>
      <c r="O341" s="8">
        <v>0</v>
      </c>
      <c r="P341" s="21">
        <f t="shared" si="47"/>
        <v>800</v>
      </c>
      <c r="Q341" s="21">
        <v>0</v>
      </c>
    </row>
    <row r="342" spans="1:17" s="183" customFormat="1" ht="17.25" customHeight="1">
      <c r="A342" s="20"/>
      <c r="B342" s="25" t="s">
        <v>287</v>
      </c>
      <c r="C342" s="251" t="s">
        <v>288</v>
      </c>
      <c r="D342" s="8"/>
      <c r="E342" s="8">
        <v>13110</v>
      </c>
      <c r="F342" s="8">
        <v>0</v>
      </c>
      <c r="G342" s="8">
        <v>0</v>
      </c>
      <c r="H342" s="8">
        <v>14000</v>
      </c>
      <c r="I342" s="8">
        <v>0</v>
      </c>
      <c r="J342" s="8">
        <v>0</v>
      </c>
      <c r="K342" s="8">
        <v>16941</v>
      </c>
      <c r="L342" s="8">
        <v>0</v>
      </c>
      <c r="M342" s="8"/>
      <c r="N342" s="8">
        <f t="shared" si="45"/>
        <v>16941</v>
      </c>
      <c r="O342" s="8">
        <v>0</v>
      </c>
      <c r="P342" s="21">
        <f t="shared" si="47"/>
        <v>16941</v>
      </c>
      <c r="Q342" s="21">
        <v>0</v>
      </c>
    </row>
    <row r="343" spans="1:17" s="183" customFormat="1" ht="18" customHeight="1">
      <c r="A343" s="20"/>
      <c r="B343" s="25" t="s">
        <v>303</v>
      </c>
      <c r="C343" s="251" t="s">
        <v>304</v>
      </c>
      <c r="D343" s="8"/>
      <c r="E343" s="8">
        <v>1000</v>
      </c>
      <c r="F343" s="8">
        <v>0</v>
      </c>
      <c r="G343" s="8">
        <v>60</v>
      </c>
      <c r="H343" s="8">
        <v>1896</v>
      </c>
      <c r="I343" s="8">
        <v>0</v>
      </c>
      <c r="J343" s="8">
        <v>0</v>
      </c>
      <c r="K343" s="8">
        <v>2372</v>
      </c>
      <c r="L343" s="8"/>
      <c r="M343" s="8">
        <v>0</v>
      </c>
      <c r="N343" s="8">
        <f t="shared" si="45"/>
        <v>2372</v>
      </c>
      <c r="O343" s="8">
        <v>0</v>
      </c>
      <c r="P343" s="21">
        <f t="shared" si="47"/>
        <v>2372</v>
      </c>
      <c r="Q343" s="21">
        <v>0</v>
      </c>
    </row>
    <row r="344" spans="1:17" s="183" customFormat="1" ht="18.75" customHeight="1">
      <c r="A344" s="20"/>
      <c r="B344" s="25" t="s">
        <v>402</v>
      </c>
      <c r="C344" s="251" t="s">
        <v>403</v>
      </c>
      <c r="D344" s="8"/>
      <c r="E344" s="8">
        <v>500</v>
      </c>
      <c r="F344" s="8">
        <v>0</v>
      </c>
      <c r="G344" s="8">
        <v>70</v>
      </c>
      <c r="H344" s="8">
        <v>427</v>
      </c>
      <c r="I344" s="8">
        <v>0</v>
      </c>
      <c r="J344" s="8">
        <v>0</v>
      </c>
      <c r="K344" s="8">
        <v>426</v>
      </c>
      <c r="L344" s="8"/>
      <c r="M344" s="8"/>
      <c r="N344" s="8">
        <f t="shared" si="45"/>
        <v>426</v>
      </c>
      <c r="O344" s="8">
        <v>0</v>
      </c>
      <c r="P344" s="21">
        <f t="shared" si="47"/>
        <v>426</v>
      </c>
      <c r="Q344" s="21">
        <v>0</v>
      </c>
    </row>
    <row r="345" spans="1:17" s="183" customFormat="1" ht="18.75" customHeight="1">
      <c r="A345" s="20"/>
      <c r="B345" s="25" t="s">
        <v>305</v>
      </c>
      <c r="C345" s="251" t="s">
        <v>180</v>
      </c>
      <c r="D345" s="8"/>
      <c r="E345" s="8"/>
      <c r="F345" s="8"/>
      <c r="G345" s="8"/>
      <c r="H345" s="8">
        <v>126026</v>
      </c>
      <c r="I345" s="8">
        <v>0</v>
      </c>
      <c r="J345" s="8">
        <v>0</v>
      </c>
      <c r="K345" s="8">
        <v>110000</v>
      </c>
      <c r="L345" s="8">
        <v>2413</v>
      </c>
      <c r="M345" s="8"/>
      <c r="N345" s="8">
        <f t="shared" si="45"/>
        <v>112413</v>
      </c>
      <c r="O345" s="8">
        <v>0</v>
      </c>
      <c r="P345" s="21">
        <f t="shared" si="47"/>
        <v>112413</v>
      </c>
      <c r="Q345" s="21">
        <v>0</v>
      </c>
    </row>
    <row r="346" spans="1:17" s="183" customFormat="1" ht="15.75" customHeight="1">
      <c r="A346" s="198" t="s">
        <v>412</v>
      </c>
      <c r="B346" s="309"/>
      <c r="C346" s="197" t="s">
        <v>490</v>
      </c>
      <c r="D346" s="169">
        <f>D349</f>
        <v>1308000</v>
      </c>
      <c r="E346" s="169">
        <f>E349</f>
        <v>1138000</v>
      </c>
      <c r="F346" s="169">
        <f>F349</f>
        <v>0</v>
      </c>
      <c r="G346" s="169">
        <f>G349</f>
        <v>0</v>
      </c>
      <c r="H346" s="169">
        <f>H349+H350</f>
        <v>744716</v>
      </c>
      <c r="I346" s="169">
        <f>I349+I350</f>
        <v>0</v>
      </c>
      <c r="J346" s="169">
        <f>J349+J350</f>
        <v>0</v>
      </c>
      <c r="K346" s="169">
        <f>K347+K348+K349+K350</f>
        <v>957108</v>
      </c>
      <c r="L346" s="169">
        <f>L347+L348+L349+L350</f>
        <v>0</v>
      </c>
      <c r="M346" s="169">
        <f>M347+M348+M349+M350</f>
        <v>0</v>
      </c>
      <c r="N346" s="169">
        <f t="shared" si="45"/>
        <v>957108</v>
      </c>
      <c r="O346" s="169">
        <f>O347+O348+O349+O350</f>
        <v>0</v>
      </c>
      <c r="P346" s="169">
        <f>P347+P348+P349+P350</f>
        <v>927860</v>
      </c>
      <c r="Q346" s="169">
        <f>Q347+Q348+Q349+Q350</f>
        <v>29248</v>
      </c>
    </row>
    <row r="347" spans="1:17" s="183" customFormat="1" ht="15.75" customHeight="1">
      <c r="A347" s="23"/>
      <c r="B347" s="25" t="s">
        <v>334</v>
      </c>
      <c r="C347" s="301" t="s">
        <v>700</v>
      </c>
      <c r="D347" s="7"/>
      <c r="E347" s="7"/>
      <c r="F347" s="7"/>
      <c r="G347" s="7"/>
      <c r="H347" s="7"/>
      <c r="I347" s="7"/>
      <c r="J347" s="7"/>
      <c r="K347" s="17">
        <v>14324</v>
      </c>
      <c r="L347" s="17">
        <v>0</v>
      </c>
      <c r="M347" s="7"/>
      <c r="N347" s="8">
        <f t="shared" si="45"/>
        <v>14324</v>
      </c>
      <c r="O347" s="17">
        <v>0</v>
      </c>
      <c r="P347" s="17">
        <v>0</v>
      </c>
      <c r="Q347" s="17">
        <f>N347</f>
        <v>14324</v>
      </c>
    </row>
    <row r="348" spans="1:17" s="183" customFormat="1" ht="15.75" customHeight="1">
      <c r="A348" s="23"/>
      <c r="B348" s="25" t="s">
        <v>462</v>
      </c>
      <c r="C348" s="301" t="s">
        <v>701</v>
      </c>
      <c r="D348" s="7"/>
      <c r="E348" s="7"/>
      <c r="F348" s="7"/>
      <c r="G348" s="7"/>
      <c r="H348" s="7"/>
      <c r="I348" s="7"/>
      <c r="J348" s="7"/>
      <c r="K348" s="17">
        <v>14924</v>
      </c>
      <c r="L348" s="17">
        <v>0</v>
      </c>
      <c r="M348" s="7"/>
      <c r="N348" s="8">
        <f t="shared" si="45"/>
        <v>14924</v>
      </c>
      <c r="O348" s="17">
        <v>0</v>
      </c>
      <c r="P348" s="17">
        <v>0</v>
      </c>
      <c r="Q348" s="17">
        <f>N348</f>
        <v>14924</v>
      </c>
    </row>
    <row r="349" spans="1:17" s="183" customFormat="1" ht="13.5" customHeight="1">
      <c r="A349" s="23"/>
      <c r="B349" s="25" t="s">
        <v>483</v>
      </c>
      <c r="C349" s="301" t="s">
        <v>484</v>
      </c>
      <c r="D349" s="17">
        <v>1308000</v>
      </c>
      <c r="E349" s="17">
        <v>1138000</v>
      </c>
      <c r="F349" s="17">
        <v>0</v>
      </c>
      <c r="G349" s="17">
        <v>0</v>
      </c>
      <c r="H349" s="8">
        <v>728506</v>
      </c>
      <c r="I349" s="8">
        <v>0</v>
      </c>
      <c r="J349" s="8">
        <v>0</v>
      </c>
      <c r="K349" s="8">
        <v>911650</v>
      </c>
      <c r="L349" s="8"/>
      <c r="M349" s="8">
        <v>0</v>
      </c>
      <c r="N349" s="8">
        <f t="shared" si="45"/>
        <v>911650</v>
      </c>
      <c r="O349" s="17">
        <v>0</v>
      </c>
      <c r="P349" s="18">
        <f>N349</f>
        <v>911650</v>
      </c>
      <c r="Q349" s="18">
        <v>0</v>
      </c>
    </row>
    <row r="350" spans="1:17" s="183" customFormat="1" ht="16.5" customHeight="1">
      <c r="A350" s="23"/>
      <c r="B350" s="25" t="s">
        <v>275</v>
      </c>
      <c r="C350" s="301" t="s">
        <v>302</v>
      </c>
      <c r="D350" s="17"/>
      <c r="E350" s="17"/>
      <c r="F350" s="17"/>
      <c r="G350" s="17"/>
      <c r="H350" s="8">
        <v>16210</v>
      </c>
      <c r="I350" s="8">
        <v>0</v>
      </c>
      <c r="J350" s="8">
        <v>0</v>
      </c>
      <c r="K350" s="8">
        <v>16210</v>
      </c>
      <c r="L350" s="8"/>
      <c r="M350" s="8"/>
      <c r="N350" s="8">
        <f t="shared" si="45"/>
        <v>16210</v>
      </c>
      <c r="O350" s="17">
        <v>0</v>
      </c>
      <c r="P350" s="18">
        <f>N350</f>
        <v>16210</v>
      </c>
      <c r="Q350" s="18">
        <v>0</v>
      </c>
    </row>
    <row r="351" spans="1:17" s="183" customFormat="1" ht="24.75" customHeight="1">
      <c r="A351" s="198" t="s">
        <v>408</v>
      </c>
      <c r="B351" s="309"/>
      <c r="C351" s="197" t="s">
        <v>492</v>
      </c>
      <c r="D351" s="169" t="e">
        <f>D352+D353+D354+#REF!</f>
        <v>#REF!</v>
      </c>
      <c r="E351" s="169" t="e">
        <f>E352+E353+E354+E355+#REF!+E357+E358+E359+E361+E363</f>
        <v>#REF!</v>
      </c>
      <c r="F351" s="169" t="e">
        <f>F352+F353+F354+F355+#REF!+F357+F358+F359+F361+F363</f>
        <v>#REF!</v>
      </c>
      <c r="G351" s="169" t="e">
        <f>G352+G353+G354+G355+#REF!+G357+G358+G359+G361+G363</f>
        <v>#REF!</v>
      </c>
      <c r="H351" s="169">
        <f>H352+H353+H354+H355+H357+H358+H359+H361+H363</f>
        <v>132083</v>
      </c>
      <c r="I351" s="169">
        <f>I352+I353+I354+I355+I357+I358+I359+I361+I363</f>
        <v>0</v>
      </c>
      <c r="J351" s="169">
        <f>J352+J353+J354+J355+J357+J358+J359+J361+J363</f>
        <v>0</v>
      </c>
      <c r="K351" s="169">
        <f>K352+K353+K354+K355+K356+K357+K358+K359+K360+K361+K362+K363</f>
        <v>227504</v>
      </c>
      <c r="L351" s="169">
        <f>L352+L353+L354+L355+L356+L357+L358+L359+L360+L361+L362+L363</f>
        <v>0</v>
      </c>
      <c r="M351" s="169">
        <f>M352+M353+M354+M355+M356+M357+M358+M359+M360+M361+M362+M363</f>
        <v>0</v>
      </c>
      <c r="N351" s="169">
        <f t="shared" si="45"/>
        <v>227504</v>
      </c>
      <c r="O351" s="169">
        <f>O352+O353+O354+O355+O356+O357+O358+O359+O360+O361+O362+O363</f>
        <v>0</v>
      </c>
      <c r="P351" s="167">
        <f>P352+P353+P354+P355+P356+P357+P358+P359+P360+P361+P362+P363</f>
        <v>227504</v>
      </c>
      <c r="Q351" s="167">
        <f>Q352+Q353+Q354+Q355+Q356+Q357+Q358+Q359+Q360+Q361+Q362+Q363</f>
        <v>0</v>
      </c>
    </row>
    <row r="352" spans="1:17" s="183" customFormat="1" ht="17.25" customHeight="1">
      <c r="A352" s="535"/>
      <c r="B352" s="25" t="s">
        <v>265</v>
      </c>
      <c r="C352" s="301" t="s">
        <v>266</v>
      </c>
      <c r="D352" s="8">
        <v>85744</v>
      </c>
      <c r="E352" s="8">
        <v>121480</v>
      </c>
      <c r="F352" s="8">
        <v>0</v>
      </c>
      <c r="G352" s="8">
        <v>2671</v>
      </c>
      <c r="H352" s="8">
        <v>72999</v>
      </c>
      <c r="I352" s="8">
        <v>0</v>
      </c>
      <c r="J352" s="8">
        <v>0</v>
      </c>
      <c r="K352" s="8">
        <v>139675</v>
      </c>
      <c r="L352" s="8">
        <v>0</v>
      </c>
      <c r="M352" s="8"/>
      <c r="N352" s="8">
        <f t="shared" si="45"/>
        <v>139675</v>
      </c>
      <c r="O352" s="8">
        <v>0</v>
      </c>
      <c r="P352" s="21">
        <f>N352-O352</f>
        <v>139675</v>
      </c>
      <c r="Q352" s="21">
        <v>0</v>
      </c>
    </row>
    <row r="353" spans="1:17" s="183" customFormat="1" ht="15" customHeight="1">
      <c r="A353" s="535"/>
      <c r="B353" s="15" t="s">
        <v>269</v>
      </c>
      <c r="C353" s="301" t="s">
        <v>270</v>
      </c>
      <c r="D353" s="8">
        <v>4800</v>
      </c>
      <c r="E353" s="8">
        <v>6578</v>
      </c>
      <c r="F353" s="8">
        <v>0</v>
      </c>
      <c r="G353" s="8">
        <v>0</v>
      </c>
      <c r="H353" s="17">
        <v>5710</v>
      </c>
      <c r="I353" s="8">
        <v>0</v>
      </c>
      <c r="J353" s="8">
        <v>0</v>
      </c>
      <c r="K353" s="8">
        <v>13837</v>
      </c>
      <c r="L353" s="8"/>
      <c r="M353" s="8">
        <v>0</v>
      </c>
      <c r="N353" s="8">
        <f t="shared" si="45"/>
        <v>13837</v>
      </c>
      <c r="O353" s="8">
        <v>0</v>
      </c>
      <c r="P353" s="21">
        <f aca="true" t="shared" si="48" ref="P353:P363">N353-O353</f>
        <v>13837</v>
      </c>
      <c r="Q353" s="21">
        <v>0</v>
      </c>
    </row>
    <row r="354" spans="1:17" s="183" customFormat="1" ht="14.25" customHeight="1">
      <c r="A354" s="535"/>
      <c r="B354" s="22" t="s">
        <v>328</v>
      </c>
      <c r="C354" s="301" t="s">
        <v>299</v>
      </c>
      <c r="D354" s="8">
        <v>18394</v>
      </c>
      <c r="E354" s="8">
        <v>22179</v>
      </c>
      <c r="F354" s="8">
        <v>0</v>
      </c>
      <c r="G354" s="8">
        <v>0</v>
      </c>
      <c r="H354" s="17">
        <v>14515</v>
      </c>
      <c r="I354" s="8">
        <v>0</v>
      </c>
      <c r="J354" s="8">
        <v>0</v>
      </c>
      <c r="K354" s="8">
        <v>26352</v>
      </c>
      <c r="L354" s="8"/>
      <c r="M354" s="8"/>
      <c r="N354" s="8">
        <f t="shared" si="45"/>
        <v>26352</v>
      </c>
      <c r="O354" s="8">
        <v>0</v>
      </c>
      <c r="P354" s="21">
        <f t="shared" si="48"/>
        <v>26352</v>
      </c>
      <c r="Q354" s="21">
        <v>0</v>
      </c>
    </row>
    <row r="355" spans="1:17" s="183" customFormat="1" ht="15.75" customHeight="1">
      <c r="A355" s="535"/>
      <c r="B355" s="22" t="s">
        <v>273</v>
      </c>
      <c r="C355" s="301" t="s">
        <v>274</v>
      </c>
      <c r="D355" s="8"/>
      <c r="E355" s="8">
        <v>3039</v>
      </c>
      <c r="F355" s="8">
        <v>0</v>
      </c>
      <c r="G355" s="8">
        <v>0</v>
      </c>
      <c r="H355" s="17">
        <v>1927</v>
      </c>
      <c r="I355" s="8">
        <v>0</v>
      </c>
      <c r="J355" s="8">
        <v>0</v>
      </c>
      <c r="K355" s="8">
        <v>3549</v>
      </c>
      <c r="L355" s="8"/>
      <c r="M355" s="8"/>
      <c r="N355" s="8">
        <f t="shared" si="45"/>
        <v>3549</v>
      </c>
      <c r="O355" s="8">
        <v>0</v>
      </c>
      <c r="P355" s="21">
        <f t="shared" si="48"/>
        <v>3549</v>
      </c>
      <c r="Q355" s="21">
        <v>0</v>
      </c>
    </row>
    <row r="356" spans="1:17" s="183" customFormat="1" ht="17.25" customHeight="1">
      <c r="A356" s="20"/>
      <c r="B356" s="25" t="s">
        <v>97</v>
      </c>
      <c r="C356" s="251" t="s">
        <v>111</v>
      </c>
      <c r="D356" s="8"/>
      <c r="E356" s="8"/>
      <c r="F356" s="8"/>
      <c r="G356" s="8"/>
      <c r="H356" s="17"/>
      <c r="I356" s="8"/>
      <c r="J356" s="8"/>
      <c r="K356" s="8">
        <v>1000</v>
      </c>
      <c r="L356" s="8"/>
      <c r="M356" s="8"/>
      <c r="N356" s="8">
        <f t="shared" si="45"/>
        <v>1000</v>
      </c>
      <c r="O356" s="8">
        <v>0</v>
      </c>
      <c r="P356" s="21">
        <f t="shared" si="48"/>
        <v>1000</v>
      </c>
      <c r="Q356" s="21">
        <v>0</v>
      </c>
    </row>
    <row r="357" spans="1:17" s="183" customFormat="1" ht="14.25" customHeight="1">
      <c r="A357" s="20"/>
      <c r="B357" s="25" t="s">
        <v>275</v>
      </c>
      <c r="C357" s="251" t="s">
        <v>443</v>
      </c>
      <c r="D357" s="8"/>
      <c r="E357" s="8">
        <v>5070</v>
      </c>
      <c r="F357" s="8">
        <v>500</v>
      </c>
      <c r="G357" s="8">
        <v>0</v>
      </c>
      <c r="H357" s="17">
        <v>7461</v>
      </c>
      <c r="I357" s="8">
        <v>0</v>
      </c>
      <c r="J357" s="8">
        <v>0</v>
      </c>
      <c r="K357" s="8">
        <v>15210</v>
      </c>
      <c r="L357" s="8"/>
      <c r="M357" s="8"/>
      <c r="N357" s="8">
        <f t="shared" si="45"/>
        <v>15210</v>
      </c>
      <c r="O357" s="8">
        <v>0</v>
      </c>
      <c r="P357" s="21">
        <f t="shared" si="48"/>
        <v>15210</v>
      </c>
      <c r="Q357" s="21">
        <v>0</v>
      </c>
    </row>
    <row r="358" spans="1:17" s="183" customFormat="1" ht="14.25" customHeight="1">
      <c r="A358" s="20"/>
      <c r="B358" s="25" t="s">
        <v>277</v>
      </c>
      <c r="C358" s="251" t="s">
        <v>397</v>
      </c>
      <c r="D358" s="8"/>
      <c r="E358" s="8">
        <v>3015</v>
      </c>
      <c r="F358" s="8">
        <v>500</v>
      </c>
      <c r="G358" s="8">
        <v>0</v>
      </c>
      <c r="H358" s="17">
        <v>6000</v>
      </c>
      <c r="I358" s="8">
        <v>0</v>
      </c>
      <c r="J358" s="8">
        <v>0</v>
      </c>
      <c r="K358" s="8">
        <v>11260</v>
      </c>
      <c r="L358" s="8"/>
      <c r="M358" s="8"/>
      <c r="N358" s="8">
        <f aca="true" t="shared" si="49" ref="N358:N438">K358+L358-M358</f>
        <v>11260</v>
      </c>
      <c r="O358" s="8">
        <v>0</v>
      </c>
      <c r="P358" s="21">
        <f t="shared" si="48"/>
        <v>11260</v>
      </c>
      <c r="Q358" s="21">
        <v>0</v>
      </c>
    </row>
    <row r="359" spans="1:17" s="183" customFormat="1" ht="13.5" customHeight="1">
      <c r="A359" s="20"/>
      <c r="B359" s="25" t="s">
        <v>281</v>
      </c>
      <c r="C359" s="251" t="s">
        <v>399</v>
      </c>
      <c r="D359" s="8"/>
      <c r="E359" s="8">
        <v>19008</v>
      </c>
      <c r="F359" s="8">
        <v>2043</v>
      </c>
      <c r="G359" s="8">
        <v>0</v>
      </c>
      <c r="H359" s="8">
        <v>19291</v>
      </c>
      <c r="I359" s="8">
        <v>0</v>
      </c>
      <c r="J359" s="8">
        <v>0</v>
      </c>
      <c r="K359" s="8">
        <v>7432</v>
      </c>
      <c r="L359" s="8"/>
      <c r="M359" s="8">
        <v>0</v>
      </c>
      <c r="N359" s="8">
        <f t="shared" si="49"/>
        <v>7432</v>
      </c>
      <c r="O359" s="8">
        <v>0</v>
      </c>
      <c r="P359" s="21">
        <f t="shared" si="48"/>
        <v>7432</v>
      </c>
      <c r="Q359" s="21">
        <v>0</v>
      </c>
    </row>
    <row r="360" spans="1:17" s="183" customFormat="1" ht="14.25" customHeight="1">
      <c r="A360" s="20"/>
      <c r="B360" s="25" t="s">
        <v>112</v>
      </c>
      <c r="C360" s="251" t="s">
        <v>113</v>
      </c>
      <c r="D360" s="8"/>
      <c r="E360" s="8"/>
      <c r="F360" s="8"/>
      <c r="G360" s="8"/>
      <c r="H360" s="8"/>
      <c r="I360" s="8"/>
      <c r="J360" s="8"/>
      <c r="K360" s="8">
        <v>1449</v>
      </c>
      <c r="L360" s="8"/>
      <c r="M360" s="8"/>
      <c r="N360" s="8">
        <f t="shared" si="49"/>
        <v>1449</v>
      </c>
      <c r="O360" s="8">
        <v>0</v>
      </c>
      <c r="P360" s="21">
        <f t="shared" si="48"/>
        <v>1449</v>
      </c>
      <c r="Q360" s="21">
        <v>0</v>
      </c>
    </row>
    <row r="361" spans="1:17" s="183" customFormat="1" ht="13.5" customHeight="1">
      <c r="A361" s="20"/>
      <c r="B361" s="25" t="s">
        <v>283</v>
      </c>
      <c r="C361" s="251" t="s">
        <v>284</v>
      </c>
      <c r="D361" s="8"/>
      <c r="E361" s="8">
        <v>2618</v>
      </c>
      <c r="F361" s="8">
        <v>0</v>
      </c>
      <c r="G361" s="8">
        <v>0</v>
      </c>
      <c r="H361" s="8">
        <v>1000</v>
      </c>
      <c r="I361" s="8">
        <v>0</v>
      </c>
      <c r="J361" s="8">
        <v>0</v>
      </c>
      <c r="K361" s="8">
        <v>1200</v>
      </c>
      <c r="L361" s="8"/>
      <c r="M361" s="8"/>
      <c r="N361" s="8">
        <f t="shared" si="49"/>
        <v>1200</v>
      </c>
      <c r="O361" s="8">
        <v>0</v>
      </c>
      <c r="P361" s="21">
        <f t="shared" si="48"/>
        <v>1200</v>
      </c>
      <c r="Q361" s="21">
        <v>0</v>
      </c>
    </row>
    <row r="362" spans="1:17" s="183" customFormat="1" ht="15" customHeight="1">
      <c r="A362" s="20"/>
      <c r="B362" s="25" t="s">
        <v>130</v>
      </c>
      <c r="C362" s="251" t="s">
        <v>689</v>
      </c>
      <c r="D362" s="8"/>
      <c r="E362" s="8"/>
      <c r="F362" s="8"/>
      <c r="G362" s="8"/>
      <c r="H362" s="8"/>
      <c r="I362" s="8"/>
      <c r="J362" s="8"/>
      <c r="K362" s="8">
        <v>120</v>
      </c>
      <c r="L362" s="8"/>
      <c r="M362" s="8"/>
      <c r="N362" s="8">
        <f t="shared" si="49"/>
        <v>120</v>
      </c>
      <c r="O362" s="8">
        <v>0</v>
      </c>
      <c r="P362" s="21">
        <f t="shared" si="48"/>
        <v>120</v>
      </c>
      <c r="Q362" s="21">
        <v>0</v>
      </c>
    </row>
    <row r="363" spans="1:17" s="183" customFormat="1" ht="14.25" customHeight="1">
      <c r="A363" s="20"/>
      <c r="B363" s="25" t="s">
        <v>287</v>
      </c>
      <c r="C363" s="251" t="s">
        <v>288</v>
      </c>
      <c r="D363" s="8"/>
      <c r="E363" s="8">
        <v>1673</v>
      </c>
      <c r="F363" s="8">
        <v>2671</v>
      </c>
      <c r="G363" s="8">
        <v>0</v>
      </c>
      <c r="H363" s="8">
        <v>3180</v>
      </c>
      <c r="I363" s="8">
        <v>0</v>
      </c>
      <c r="J363" s="8">
        <v>0</v>
      </c>
      <c r="K363" s="8">
        <v>6420</v>
      </c>
      <c r="L363" s="8">
        <v>0</v>
      </c>
      <c r="M363" s="8"/>
      <c r="N363" s="8">
        <f t="shared" si="49"/>
        <v>6420</v>
      </c>
      <c r="O363" s="8">
        <v>0</v>
      </c>
      <c r="P363" s="21">
        <f t="shared" si="48"/>
        <v>6420</v>
      </c>
      <c r="Q363" s="21">
        <v>0</v>
      </c>
    </row>
    <row r="364" spans="1:17" s="182" customFormat="1" ht="33" customHeight="1">
      <c r="A364" s="198" t="s">
        <v>556</v>
      </c>
      <c r="B364" s="196"/>
      <c r="C364" s="208" t="s">
        <v>557</v>
      </c>
      <c r="D364" s="169"/>
      <c r="E364" s="169"/>
      <c r="F364" s="169"/>
      <c r="G364" s="169"/>
      <c r="H364" s="169"/>
      <c r="I364" s="169"/>
      <c r="J364" s="169"/>
      <c r="K364" s="169">
        <f>SUM(K365:K375)</f>
        <v>46168</v>
      </c>
      <c r="L364" s="169">
        <f>SUM(L365:L375)</f>
        <v>0</v>
      </c>
      <c r="M364" s="169">
        <f>SUM(M365:M375)</f>
        <v>0</v>
      </c>
      <c r="N364" s="169">
        <f t="shared" si="49"/>
        <v>46168</v>
      </c>
      <c r="O364" s="169">
        <f>SUM(O365:O375)</f>
        <v>0</v>
      </c>
      <c r="P364" s="169">
        <f>SUM(P365:P375)</f>
        <v>46168</v>
      </c>
      <c r="Q364" s="169">
        <f>SUM(Q365:Q375)</f>
        <v>0</v>
      </c>
    </row>
    <row r="365" spans="1:17" s="182" customFormat="1" ht="17.25" customHeight="1">
      <c r="A365" s="23"/>
      <c r="B365" s="27" t="s">
        <v>265</v>
      </c>
      <c r="C365" s="301" t="s">
        <v>266</v>
      </c>
      <c r="D365" s="17"/>
      <c r="E365" s="17"/>
      <c r="F365" s="17"/>
      <c r="G365" s="17"/>
      <c r="H365" s="17"/>
      <c r="I365" s="17"/>
      <c r="J365" s="17"/>
      <c r="K365" s="17">
        <v>24101</v>
      </c>
      <c r="L365" s="17"/>
      <c r="M365" s="17"/>
      <c r="N365" s="8">
        <f t="shared" si="49"/>
        <v>24101</v>
      </c>
      <c r="O365" s="17">
        <v>0</v>
      </c>
      <c r="P365" s="17">
        <f>N365</f>
        <v>24101</v>
      </c>
      <c r="Q365" s="17">
        <v>0</v>
      </c>
    </row>
    <row r="366" spans="1:17" s="182" customFormat="1" ht="16.5" customHeight="1">
      <c r="A366" s="23"/>
      <c r="B366" s="27" t="s">
        <v>298</v>
      </c>
      <c r="C366" s="301" t="s">
        <v>299</v>
      </c>
      <c r="D366" s="17"/>
      <c r="E366" s="17"/>
      <c r="F366" s="17"/>
      <c r="G366" s="17"/>
      <c r="H366" s="17"/>
      <c r="I366" s="17"/>
      <c r="J366" s="17"/>
      <c r="K366" s="17">
        <v>4384</v>
      </c>
      <c r="L366" s="17"/>
      <c r="M366" s="17"/>
      <c r="N366" s="8">
        <f t="shared" si="49"/>
        <v>4384</v>
      </c>
      <c r="O366" s="17">
        <v>0</v>
      </c>
      <c r="P366" s="17">
        <f aca="true" t="shared" si="50" ref="P366:P375">N366</f>
        <v>4384</v>
      </c>
      <c r="Q366" s="17">
        <v>0</v>
      </c>
    </row>
    <row r="367" spans="1:17" s="182" customFormat="1" ht="16.5" customHeight="1">
      <c r="A367" s="23"/>
      <c r="B367" s="27" t="s">
        <v>273</v>
      </c>
      <c r="C367" s="301" t="s">
        <v>274</v>
      </c>
      <c r="D367" s="17"/>
      <c r="E367" s="17"/>
      <c r="F367" s="17"/>
      <c r="G367" s="17"/>
      <c r="H367" s="17"/>
      <c r="I367" s="17"/>
      <c r="J367" s="17"/>
      <c r="K367" s="17">
        <v>590</v>
      </c>
      <c r="L367" s="17"/>
      <c r="M367" s="17"/>
      <c r="N367" s="8">
        <f t="shared" si="49"/>
        <v>590</v>
      </c>
      <c r="O367" s="17">
        <v>0</v>
      </c>
      <c r="P367" s="17">
        <f t="shared" si="50"/>
        <v>590</v>
      </c>
      <c r="Q367" s="17">
        <v>0</v>
      </c>
    </row>
    <row r="368" spans="1:17" s="183" customFormat="1" ht="17.25" customHeight="1">
      <c r="A368" s="20"/>
      <c r="B368" s="25" t="s">
        <v>275</v>
      </c>
      <c r="C368" s="251" t="s">
        <v>276</v>
      </c>
      <c r="D368" s="8"/>
      <c r="E368" s="8"/>
      <c r="F368" s="8"/>
      <c r="G368" s="8"/>
      <c r="H368" s="8"/>
      <c r="I368" s="8"/>
      <c r="J368" s="8"/>
      <c r="K368" s="17">
        <v>5483</v>
      </c>
      <c r="L368" s="17"/>
      <c r="M368" s="8">
        <v>0</v>
      </c>
      <c r="N368" s="8">
        <f t="shared" si="49"/>
        <v>5483</v>
      </c>
      <c r="O368" s="17">
        <v>0</v>
      </c>
      <c r="P368" s="17">
        <f t="shared" si="50"/>
        <v>5483</v>
      </c>
      <c r="Q368" s="17">
        <v>0</v>
      </c>
    </row>
    <row r="369" spans="1:17" s="183" customFormat="1" ht="18.75" customHeight="1">
      <c r="A369" s="20"/>
      <c r="B369" s="25" t="s">
        <v>488</v>
      </c>
      <c r="C369" s="251" t="s">
        <v>147</v>
      </c>
      <c r="D369" s="8"/>
      <c r="E369" s="8"/>
      <c r="F369" s="8"/>
      <c r="G369" s="8"/>
      <c r="H369" s="8"/>
      <c r="I369" s="8"/>
      <c r="J369" s="8"/>
      <c r="K369" s="17">
        <v>300</v>
      </c>
      <c r="L369" s="17"/>
      <c r="M369" s="8"/>
      <c r="N369" s="8">
        <f t="shared" si="49"/>
        <v>300</v>
      </c>
      <c r="O369" s="17">
        <v>0</v>
      </c>
      <c r="P369" s="17">
        <f t="shared" si="50"/>
        <v>300</v>
      </c>
      <c r="Q369" s="17">
        <v>0</v>
      </c>
    </row>
    <row r="370" spans="1:17" s="183" customFormat="1" ht="17.25" customHeight="1">
      <c r="A370" s="20"/>
      <c r="B370" s="25" t="s">
        <v>277</v>
      </c>
      <c r="C370" s="251" t="s">
        <v>397</v>
      </c>
      <c r="D370" s="8"/>
      <c r="E370" s="8"/>
      <c r="F370" s="8"/>
      <c r="G370" s="8"/>
      <c r="H370" s="8"/>
      <c r="I370" s="8"/>
      <c r="J370" s="8"/>
      <c r="K370" s="17">
        <v>5820</v>
      </c>
      <c r="L370" s="17"/>
      <c r="M370" s="8"/>
      <c r="N370" s="8">
        <f t="shared" si="49"/>
        <v>5820</v>
      </c>
      <c r="O370" s="17">
        <v>0</v>
      </c>
      <c r="P370" s="17">
        <f t="shared" si="50"/>
        <v>5820</v>
      </c>
      <c r="Q370" s="17">
        <v>0</v>
      </c>
    </row>
    <row r="371" spans="1:17" s="183" customFormat="1" ht="17.25" customHeight="1">
      <c r="A371" s="20"/>
      <c r="B371" s="25" t="s">
        <v>279</v>
      </c>
      <c r="C371" s="251" t="s">
        <v>398</v>
      </c>
      <c r="D371" s="8"/>
      <c r="E371" s="8"/>
      <c r="F371" s="8"/>
      <c r="G371" s="8"/>
      <c r="H371" s="8"/>
      <c r="I371" s="8"/>
      <c r="J371" s="8"/>
      <c r="K371" s="17">
        <v>0</v>
      </c>
      <c r="L371" s="17"/>
      <c r="M371" s="8"/>
      <c r="N371" s="8">
        <f t="shared" si="49"/>
        <v>0</v>
      </c>
      <c r="O371" s="17">
        <v>0</v>
      </c>
      <c r="P371" s="17">
        <f t="shared" si="50"/>
        <v>0</v>
      </c>
      <c r="Q371" s="17">
        <v>0</v>
      </c>
    </row>
    <row r="372" spans="1:17" s="183" customFormat="1" ht="17.25" customHeight="1">
      <c r="A372" s="20"/>
      <c r="B372" s="25" t="s">
        <v>281</v>
      </c>
      <c r="C372" s="251" t="s">
        <v>399</v>
      </c>
      <c r="D372" s="8"/>
      <c r="E372" s="8"/>
      <c r="F372" s="8"/>
      <c r="G372" s="8"/>
      <c r="H372" s="8"/>
      <c r="I372" s="8"/>
      <c r="J372" s="8"/>
      <c r="K372" s="17">
        <v>2280</v>
      </c>
      <c r="L372" s="17"/>
      <c r="M372" s="8"/>
      <c r="N372" s="8">
        <f t="shared" si="49"/>
        <v>2280</v>
      </c>
      <c r="O372" s="17">
        <v>0</v>
      </c>
      <c r="P372" s="17">
        <f t="shared" si="50"/>
        <v>2280</v>
      </c>
      <c r="Q372" s="17">
        <v>0</v>
      </c>
    </row>
    <row r="373" spans="1:17" s="183" customFormat="1" ht="16.5" customHeight="1">
      <c r="A373" s="20"/>
      <c r="B373" s="25" t="s">
        <v>112</v>
      </c>
      <c r="C373" s="251" t="s">
        <v>113</v>
      </c>
      <c r="D373" s="8"/>
      <c r="E373" s="8"/>
      <c r="F373" s="8"/>
      <c r="G373" s="8"/>
      <c r="H373" s="8"/>
      <c r="I373" s="8"/>
      <c r="J373" s="8"/>
      <c r="K373" s="17">
        <v>864</v>
      </c>
      <c r="L373" s="17"/>
      <c r="M373" s="8"/>
      <c r="N373" s="8">
        <f t="shared" si="49"/>
        <v>864</v>
      </c>
      <c r="O373" s="17">
        <v>0</v>
      </c>
      <c r="P373" s="17">
        <f t="shared" si="50"/>
        <v>864</v>
      </c>
      <c r="Q373" s="17">
        <v>0</v>
      </c>
    </row>
    <row r="374" spans="1:17" s="183" customFormat="1" ht="18" customHeight="1">
      <c r="A374" s="20"/>
      <c r="B374" s="25" t="s">
        <v>283</v>
      </c>
      <c r="C374" s="251" t="s">
        <v>284</v>
      </c>
      <c r="D374" s="8"/>
      <c r="E374" s="8"/>
      <c r="F374" s="8"/>
      <c r="G374" s="8"/>
      <c r="H374" s="8"/>
      <c r="I374" s="8"/>
      <c r="J374" s="8"/>
      <c r="K374" s="17">
        <v>1200</v>
      </c>
      <c r="L374" s="17"/>
      <c r="M374" s="8"/>
      <c r="N374" s="8">
        <f t="shared" si="49"/>
        <v>1200</v>
      </c>
      <c r="O374" s="17">
        <v>0</v>
      </c>
      <c r="P374" s="17">
        <f t="shared" si="50"/>
        <v>1200</v>
      </c>
      <c r="Q374" s="17">
        <v>0</v>
      </c>
    </row>
    <row r="375" spans="1:17" s="183" customFormat="1" ht="19.5" customHeight="1">
      <c r="A375" s="20"/>
      <c r="B375" s="25" t="s">
        <v>287</v>
      </c>
      <c r="C375" s="251" t="s">
        <v>288</v>
      </c>
      <c r="D375" s="8"/>
      <c r="E375" s="8"/>
      <c r="F375" s="8"/>
      <c r="G375" s="8"/>
      <c r="H375" s="8"/>
      <c r="I375" s="8"/>
      <c r="J375" s="8"/>
      <c r="K375" s="17">
        <v>1146</v>
      </c>
      <c r="L375" s="17">
        <v>0</v>
      </c>
      <c r="M375" s="8"/>
      <c r="N375" s="8">
        <f t="shared" si="49"/>
        <v>1146</v>
      </c>
      <c r="O375" s="17">
        <v>0</v>
      </c>
      <c r="P375" s="17">
        <f t="shared" si="50"/>
        <v>1146</v>
      </c>
      <c r="Q375" s="17">
        <v>0</v>
      </c>
    </row>
    <row r="376" spans="1:17" s="183" customFormat="1" ht="24" customHeight="1">
      <c r="A376" s="198" t="s">
        <v>585</v>
      </c>
      <c r="B376" s="198"/>
      <c r="C376" s="310" t="s">
        <v>586</v>
      </c>
      <c r="D376" s="307"/>
      <c r="E376" s="307"/>
      <c r="F376" s="307"/>
      <c r="G376" s="307"/>
      <c r="H376" s="307"/>
      <c r="I376" s="307"/>
      <c r="J376" s="307"/>
      <c r="K376" s="169">
        <f>K378</f>
        <v>2200</v>
      </c>
      <c r="L376" s="169">
        <f>L378</f>
        <v>0</v>
      </c>
      <c r="M376" s="169">
        <f>M378</f>
        <v>0</v>
      </c>
      <c r="N376" s="169">
        <f t="shared" si="49"/>
        <v>2200</v>
      </c>
      <c r="O376" s="169">
        <f>O378</f>
        <v>0</v>
      </c>
      <c r="P376" s="167">
        <f>P378</f>
        <v>2200</v>
      </c>
      <c r="Q376" s="311">
        <f>Q378</f>
        <v>0</v>
      </c>
    </row>
    <row r="377" spans="1:17" s="293" customFormat="1" ht="16.5" customHeight="1">
      <c r="A377" s="31"/>
      <c r="B377" s="31" t="s">
        <v>129</v>
      </c>
      <c r="C377" s="301" t="s">
        <v>704</v>
      </c>
      <c r="D377" s="17"/>
      <c r="E377" s="17"/>
      <c r="F377" s="17"/>
      <c r="G377" s="17"/>
      <c r="H377" s="17"/>
      <c r="I377" s="17"/>
      <c r="J377" s="17"/>
      <c r="K377" s="17">
        <v>0</v>
      </c>
      <c r="L377" s="17"/>
      <c r="M377" s="17"/>
      <c r="N377" s="8">
        <f t="shared" si="49"/>
        <v>0</v>
      </c>
      <c r="O377" s="17">
        <v>0</v>
      </c>
      <c r="P377" s="18">
        <f>N377</f>
        <v>0</v>
      </c>
      <c r="Q377" s="18">
        <v>0</v>
      </c>
    </row>
    <row r="378" spans="1:17" s="183" customFormat="1" ht="19.5" customHeight="1">
      <c r="A378" s="20"/>
      <c r="B378" s="20" t="s">
        <v>281</v>
      </c>
      <c r="C378" s="301" t="s">
        <v>399</v>
      </c>
      <c r="D378" s="8"/>
      <c r="E378" s="8"/>
      <c r="F378" s="8"/>
      <c r="G378" s="8"/>
      <c r="H378" s="8"/>
      <c r="I378" s="8"/>
      <c r="J378" s="8"/>
      <c r="K378" s="8">
        <v>2200</v>
      </c>
      <c r="L378" s="8"/>
      <c r="M378" s="8"/>
      <c r="N378" s="8">
        <f t="shared" si="49"/>
        <v>2200</v>
      </c>
      <c r="O378" s="8">
        <v>0</v>
      </c>
      <c r="P378" s="18">
        <f>N378</f>
        <v>2200</v>
      </c>
      <c r="Q378" s="21">
        <v>0</v>
      </c>
    </row>
    <row r="379" spans="1:17" s="183" customFormat="1" ht="17.25" customHeight="1">
      <c r="A379" s="198" t="s">
        <v>410</v>
      </c>
      <c r="B379" s="198"/>
      <c r="C379" s="310" t="s">
        <v>344</v>
      </c>
      <c r="D379" s="169"/>
      <c r="E379" s="169" t="e">
        <f>#REF!+#REF!</f>
        <v>#REF!</v>
      </c>
      <c r="F379" s="169" t="e">
        <f>#REF!+#REF!</f>
        <v>#REF!</v>
      </c>
      <c r="G379" s="169" t="e">
        <f>#REF!+#REF!</f>
        <v>#REF!</v>
      </c>
      <c r="H379" s="169" t="e">
        <f>#REF!+H382</f>
        <v>#REF!</v>
      </c>
      <c r="I379" s="169" t="e">
        <f>#REF!+I382</f>
        <v>#REF!</v>
      </c>
      <c r="J379" s="169" t="e">
        <f>#REF!+J382</f>
        <v>#REF!</v>
      </c>
      <c r="K379" s="169">
        <f>K380+K381+K382</f>
        <v>5969</v>
      </c>
      <c r="L379" s="169">
        <f>L380+L381+L382</f>
        <v>0</v>
      </c>
      <c r="M379" s="169">
        <f>M380+M381+M382</f>
        <v>0</v>
      </c>
      <c r="N379" s="307">
        <f t="shared" si="49"/>
        <v>5969</v>
      </c>
      <c r="O379" s="169">
        <f>O380+O381+O382</f>
        <v>0</v>
      </c>
      <c r="P379" s="169">
        <f>P380+P381+P382</f>
        <v>5969</v>
      </c>
      <c r="Q379" s="169">
        <f>Q380+Q381+Q382</f>
        <v>0</v>
      </c>
    </row>
    <row r="380" spans="1:17" s="183" customFormat="1" ht="18.75" customHeight="1">
      <c r="A380" s="23"/>
      <c r="B380" s="31" t="s">
        <v>275</v>
      </c>
      <c r="C380" s="301" t="s">
        <v>302</v>
      </c>
      <c r="D380" s="17"/>
      <c r="E380" s="17"/>
      <c r="F380" s="17"/>
      <c r="G380" s="17"/>
      <c r="H380" s="17"/>
      <c r="I380" s="17"/>
      <c r="J380" s="17"/>
      <c r="K380" s="17">
        <v>0</v>
      </c>
      <c r="L380" s="17"/>
      <c r="M380" s="17"/>
      <c r="N380" s="8">
        <f t="shared" si="49"/>
        <v>0</v>
      </c>
      <c r="O380" s="17">
        <v>0</v>
      </c>
      <c r="P380" s="17">
        <f>N380</f>
        <v>0</v>
      </c>
      <c r="Q380" s="17">
        <v>0</v>
      </c>
    </row>
    <row r="381" spans="1:17" s="183" customFormat="1" ht="18" customHeight="1">
      <c r="A381" s="23"/>
      <c r="B381" s="31" t="s">
        <v>287</v>
      </c>
      <c r="C381" s="301" t="s">
        <v>558</v>
      </c>
      <c r="D381" s="17"/>
      <c r="E381" s="17"/>
      <c r="F381" s="17"/>
      <c r="G381" s="17"/>
      <c r="H381" s="17"/>
      <c r="I381" s="17"/>
      <c r="J381" s="17"/>
      <c r="K381" s="17">
        <v>5469</v>
      </c>
      <c r="L381" s="17">
        <v>0</v>
      </c>
      <c r="M381" s="17"/>
      <c r="N381" s="8">
        <f t="shared" si="49"/>
        <v>5469</v>
      </c>
      <c r="O381" s="17">
        <v>0</v>
      </c>
      <c r="P381" s="17">
        <f>N381</f>
        <v>5469</v>
      </c>
      <c r="Q381" s="17">
        <v>0</v>
      </c>
    </row>
    <row r="382" spans="1:17" s="183" customFormat="1" ht="18.75" customHeight="1">
      <c r="A382" s="20"/>
      <c r="B382" s="20" t="s">
        <v>281</v>
      </c>
      <c r="C382" s="301" t="s">
        <v>282</v>
      </c>
      <c r="D382" s="8"/>
      <c r="E382" s="8">
        <v>6515</v>
      </c>
      <c r="F382" s="8">
        <v>3292</v>
      </c>
      <c r="G382" s="8">
        <v>0</v>
      </c>
      <c r="H382" s="8">
        <v>2885</v>
      </c>
      <c r="I382" s="8">
        <v>0</v>
      </c>
      <c r="J382" s="8">
        <v>0</v>
      </c>
      <c r="K382" s="8">
        <v>500</v>
      </c>
      <c r="L382" s="8"/>
      <c r="M382" s="8"/>
      <c r="N382" s="8">
        <f t="shared" si="49"/>
        <v>500</v>
      </c>
      <c r="O382" s="8">
        <v>0</v>
      </c>
      <c r="P382" s="17">
        <f>N382</f>
        <v>500</v>
      </c>
      <c r="Q382" s="21">
        <v>0</v>
      </c>
    </row>
    <row r="383" spans="1:17" s="183" customFormat="1" ht="24.75" customHeight="1">
      <c r="A383" s="180" t="s">
        <v>480</v>
      </c>
      <c r="B383" s="180"/>
      <c r="C383" s="181" t="s">
        <v>409</v>
      </c>
      <c r="D383" s="174"/>
      <c r="E383" s="174"/>
      <c r="F383" s="174"/>
      <c r="G383" s="174"/>
      <c r="H383" s="174"/>
      <c r="I383" s="174"/>
      <c r="J383" s="174"/>
      <c r="K383" s="174">
        <f>K384+K391+K405</f>
        <v>891104</v>
      </c>
      <c r="L383" s="174">
        <f>L384+L391+L405</f>
        <v>391411</v>
      </c>
      <c r="M383" s="174">
        <f>M384+M391+M405</f>
        <v>20000</v>
      </c>
      <c r="N383" s="174">
        <f t="shared" si="49"/>
        <v>1262515</v>
      </c>
      <c r="O383" s="174">
        <f>O384+O391</f>
        <v>0</v>
      </c>
      <c r="P383" s="174">
        <f>P384+P391+P405</f>
        <v>1262515</v>
      </c>
      <c r="Q383" s="174">
        <f>Q384+Q391</f>
        <v>0</v>
      </c>
    </row>
    <row r="384" spans="1:17" s="183" customFormat="1" ht="19.5" customHeight="1">
      <c r="A384" s="198" t="s">
        <v>493</v>
      </c>
      <c r="B384" s="198"/>
      <c r="C384" s="197" t="s">
        <v>12</v>
      </c>
      <c r="D384" s="169"/>
      <c r="E384" s="169"/>
      <c r="F384" s="169"/>
      <c r="G384" s="169"/>
      <c r="H384" s="169"/>
      <c r="I384" s="169"/>
      <c r="J384" s="169"/>
      <c r="K384" s="169">
        <f>K385+K386+K387+K388+K389+K390</f>
        <v>20491</v>
      </c>
      <c r="L384" s="169">
        <f>L385+L386+L387+L388+L389+L390</f>
        <v>0</v>
      </c>
      <c r="M384" s="169">
        <f>M385+M386+M387+M388+M389+M390</f>
        <v>0</v>
      </c>
      <c r="N384" s="307">
        <f t="shared" si="49"/>
        <v>20491</v>
      </c>
      <c r="O384" s="169">
        <f>O385+O386+O387+O388+O389+O390</f>
        <v>0</v>
      </c>
      <c r="P384" s="169">
        <f>P385+P386+P387+P388+P389+P390</f>
        <v>20491</v>
      </c>
      <c r="Q384" s="169">
        <f>Q385+Q386+Q387+Q388+Q389+Q390</f>
        <v>0</v>
      </c>
    </row>
    <row r="385" spans="1:17" s="183" customFormat="1" ht="14.25" customHeight="1">
      <c r="A385" s="20"/>
      <c r="B385" s="20" t="s">
        <v>265</v>
      </c>
      <c r="C385" s="301" t="s">
        <v>266</v>
      </c>
      <c r="D385" s="8">
        <v>16515</v>
      </c>
      <c r="E385" s="8">
        <v>15028</v>
      </c>
      <c r="F385" s="8">
        <v>0</v>
      </c>
      <c r="G385" s="8">
        <v>0</v>
      </c>
      <c r="H385" s="8">
        <v>9550</v>
      </c>
      <c r="I385" s="8">
        <v>0</v>
      </c>
      <c r="J385" s="8">
        <v>0</v>
      </c>
      <c r="K385" s="8">
        <v>15000</v>
      </c>
      <c r="L385" s="8"/>
      <c r="M385" s="8"/>
      <c r="N385" s="8">
        <f t="shared" si="49"/>
        <v>15000</v>
      </c>
      <c r="O385" s="8">
        <v>0</v>
      </c>
      <c r="P385" s="21">
        <f aca="true" t="shared" si="51" ref="P385:P390">N385</f>
        <v>15000</v>
      </c>
      <c r="Q385" s="21">
        <v>0</v>
      </c>
    </row>
    <row r="386" spans="1:17" s="183" customFormat="1" ht="16.5" customHeight="1">
      <c r="A386" s="20"/>
      <c r="B386" s="20" t="s">
        <v>269</v>
      </c>
      <c r="C386" s="301" t="s">
        <v>270</v>
      </c>
      <c r="D386" s="8"/>
      <c r="E386" s="8"/>
      <c r="F386" s="8"/>
      <c r="G386" s="8"/>
      <c r="H386" s="8">
        <v>765</v>
      </c>
      <c r="I386" s="8">
        <v>0</v>
      </c>
      <c r="J386" s="8">
        <v>0</v>
      </c>
      <c r="K386" s="8">
        <v>1275</v>
      </c>
      <c r="L386" s="8"/>
      <c r="M386" s="8"/>
      <c r="N386" s="8">
        <f t="shared" si="49"/>
        <v>1275</v>
      </c>
      <c r="O386" s="8">
        <v>0</v>
      </c>
      <c r="P386" s="21">
        <f t="shared" si="51"/>
        <v>1275</v>
      </c>
      <c r="Q386" s="21">
        <v>0</v>
      </c>
    </row>
    <row r="387" spans="1:17" s="183" customFormat="1" ht="18.75" customHeight="1">
      <c r="A387" s="20"/>
      <c r="B387" s="32" t="s">
        <v>298</v>
      </c>
      <c r="C387" s="301" t="s">
        <v>494</v>
      </c>
      <c r="D387" s="8">
        <v>3358</v>
      </c>
      <c r="E387" s="8">
        <v>2709</v>
      </c>
      <c r="F387" s="8">
        <v>0</v>
      </c>
      <c r="G387" s="8">
        <v>0</v>
      </c>
      <c r="H387" s="8">
        <v>1844</v>
      </c>
      <c r="I387" s="8">
        <v>0</v>
      </c>
      <c r="J387" s="8">
        <v>0</v>
      </c>
      <c r="K387" s="8">
        <v>2804</v>
      </c>
      <c r="L387" s="8"/>
      <c r="M387" s="8"/>
      <c r="N387" s="8">
        <f t="shared" si="49"/>
        <v>2804</v>
      </c>
      <c r="O387" s="8">
        <v>0</v>
      </c>
      <c r="P387" s="21">
        <f t="shared" si="51"/>
        <v>2804</v>
      </c>
      <c r="Q387" s="21">
        <v>0</v>
      </c>
    </row>
    <row r="388" spans="1:17" s="183" customFormat="1" ht="17.25" customHeight="1">
      <c r="A388" s="20"/>
      <c r="B388" s="32" t="s">
        <v>273</v>
      </c>
      <c r="C388" s="301" t="s">
        <v>274</v>
      </c>
      <c r="D388" s="8"/>
      <c r="E388" s="8">
        <v>371</v>
      </c>
      <c r="F388" s="8">
        <v>0</v>
      </c>
      <c r="G388" s="8">
        <v>0</v>
      </c>
      <c r="H388" s="8">
        <v>253</v>
      </c>
      <c r="I388" s="8">
        <v>0</v>
      </c>
      <c r="J388" s="8">
        <v>0</v>
      </c>
      <c r="K388" s="8">
        <v>399</v>
      </c>
      <c r="L388" s="8"/>
      <c r="M388" s="8"/>
      <c r="N388" s="8">
        <f t="shared" si="49"/>
        <v>399</v>
      </c>
      <c r="O388" s="8">
        <v>0</v>
      </c>
      <c r="P388" s="21">
        <f t="shared" si="51"/>
        <v>399</v>
      </c>
      <c r="Q388" s="21">
        <v>0</v>
      </c>
    </row>
    <row r="389" spans="1:17" s="183" customFormat="1" ht="15.75" customHeight="1">
      <c r="A389" s="20"/>
      <c r="B389" s="20" t="s">
        <v>281</v>
      </c>
      <c r="C389" s="301" t="s">
        <v>399</v>
      </c>
      <c r="D389" s="8"/>
      <c r="E389" s="8"/>
      <c r="F389" s="8"/>
      <c r="G389" s="8"/>
      <c r="H389" s="8">
        <v>29725</v>
      </c>
      <c r="I389" s="8">
        <v>0</v>
      </c>
      <c r="J389" s="8">
        <v>0</v>
      </c>
      <c r="K389" s="8">
        <v>561</v>
      </c>
      <c r="L389" s="8"/>
      <c r="M389" s="8"/>
      <c r="N389" s="8">
        <f t="shared" si="49"/>
        <v>561</v>
      </c>
      <c r="O389" s="8">
        <v>0</v>
      </c>
      <c r="P389" s="21">
        <f t="shared" si="51"/>
        <v>561</v>
      </c>
      <c r="Q389" s="21">
        <v>0</v>
      </c>
    </row>
    <row r="390" spans="1:17" s="183" customFormat="1" ht="16.5" customHeight="1">
      <c r="A390" s="20"/>
      <c r="B390" s="20" t="s">
        <v>287</v>
      </c>
      <c r="C390" s="301" t="s">
        <v>288</v>
      </c>
      <c r="D390" s="8"/>
      <c r="E390" s="8"/>
      <c r="F390" s="8"/>
      <c r="G390" s="8"/>
      <c r="H390" s="8"/>
      <c r="I390" s="8"/>
      <c r="J390" s="8"/>
      <c r="K390" s="8">
        <v>452</v>
      </c>
      <c r="L390" s="8"/>
      <c r="M390" s="8"/>
      <c r="N390" s="8">
        <f t="shared" si="49"/>
        <v>452</v>
      </c>
      <c r="O390" s="8">
        <v>0</v>
      </c>
      <c r="P390" s="21">
        <f t="shared" si="51"/>
        <v>452</v>
      </c>
      <c r="Q390" s="21">
        <v>0</v>
      </c>
    </row>
    <row r="391" spans="1:17" s="183" customFormat="1" ht="15.75" customHeight="1">
      <c r="A391" s="198" t="s">
        <v>497</v>
      </c>
      <c r="B391" s="312"/>
      <c r="C391" s="197" t="s">
        <v>498</v>
      </c>
      <c r="D391" s="169" t="e">
        <f>D393+D394+D395+#REF!</f>
        <v>#REF!</v>
      </c>
      <c r="E391" s="169" t="e">
        <f>E393+E394+E395+E396+#REF!+#REF!+E398+E399+#REF!+E400+E402+#REF!+#REF!</f>
        <v>#REF!</v>
      </c>
      <c r="F391" s="169" t="e">
        <f>F393+F394+F395+F396+#REF!+#REF!+F398+F399+#REF!+F400+F402+#REF!+#REF!</f>
        <v>#REF!</v>
      </c>
      <c r="G391" s="169" t="e">
        <f>G393+G394+G395+G396+#REF!+#REF!+G398+G399+#REF!+G400+G402+#REF!+#REF!</f>
        <v>#REF!</v>
      </c>
      <c r="H391" s="169" t="e">
        <f>H393+H394+H395+H396+H398+H399+H400+H402+#REF!+H403+#REF!</f>
        <v>#REF!</v>
      </c>
      <c r="I391" s="169" t="e">
        <f>I393+I394+I395+I396+I398+I399+I400+I402+#REF!+I403+#REF!</f>
        <v>#REF!</v>
      </c>
      <c r="J391" s="169" t="e">
        <f>J393+J394+J395+J396+J398+J399+J400+J402+#REF!+J403+#REF!</f>
        <v>#REF!</v>
      </c>
      <c r="K391" s="169">
        <f>SUM(K392:K404)</f>
        <v>870613</v>
      </c>
      <c r="L391" s="169">
        <f>SUM(L392:L404)</f>
        <v>30000</v>
      </c>
      <c r="M391" s="169">
        <f>SUM(M392:M404)</f>
        <v>20000</v>
      </c>
      <c r="N391" s="169">
        <f t="shared" si="49"/>
        <v>880613</v>
      </c>
      <c r="O391" s="169">
        <f>SUM(O392:O404)</f>
        <v>0</v>
      </c>
      <c r="P391" s="169">
        <f>SUM(P392:P404)</f>
        <v>880613</v>
      </c>
      <c r="Q391" s="169">
        <f>SUM(Q392:Q404)</f>
        <v>0</v>
      </c>
    </row>
    <row r="392" spans="1:17" s="183" customFormat="1" ht="15.75" customHeight="1">
      <c r="A392" s="23"/>
      <c r="B392" s="20" t="s">
        <v>248</v>
      </c>
      <c r="C392" s="301" t="s">
        <v>559</v>
      </c>
      <c r="D392" s="7"/>
      <c r="E392" s="7"/>
      <c r="F392" s="7"/>
      <c r="G392" s="7"/>
      <c r="H392" s="7"/>
      <c r="I392" s="7"/>
      <c r="J392" s="7"/>
      <c r="K392" s="17">
        <v>250</v>
      </c>
      <c r="L392" s="17"/>
      <c r="M392" s="7"/>
      <c r="N392" s="8">
        <f t="shared" si="49"/>
        <v>250</v>
      </c>
      <c r="O392" s="7"/>
      <c r="P392" s="17">
        <f>N392-O392</f>
        <v>250</v>
      </c>
      <c r="Q392" s="7"/>
    </row>
    <row r="393" spans="1:17" s="183" customFormat="1" ht="12.75" customHeight="1">
      <c r="A393" s="20"/>
      <c r="B393" s="20" t="s">
        <v>265</v>
      </c>
      <c r="C393" s="301" t="s">
        <v>266</v>
      </c>
      <c r="D393" s="8">
        <v>606420</v>
      </c>
      <c r="E393" s="8">
        <v>652585</v>
      </c>
      <c r="F393" s="8">
        <v>0</v>
      </c>
      <c r="G393" s="8">
        <v>0</v>
      </c>
      <c r="H393" s="8">
        <v>370235</v>
      </c>
      <c r="I393" s="8">
        <v>0</v>
      </c>
      <c r="J393" s="8">
        <v>0</v>
      </c>
      <c r="K393" s="8">
        <v>567083</v>
      </c>
      <c r="L393" s="8"/>
      <c r="M393" s="8"/>
      <c r="N393" s="8">
        <f t="shared" si="49"/>
        <v>567083</v>
      </c>
      <c r="O393" s="8">
        <v>0</v>
      </c>
      <c r="P393" s="17">
        <f aca="true" t="shared" si="52" ref="P393:P421">N393-O393</f>
        <v>567083</v>
      </c>
      <c r="Q393" s="21">
        <v>0</v>
      </c>
    </row>
    <row r="394" spans="1:17" s="183" customFormat="1" ht="12.75" customHeight="1">
      <c r="A394" s="20"/>
      <c r="B394" s="20" t="s">
        <v>269</v>
      </c>
      <c r="C394" s="301" t="s">
        <v>270</v>
      </c>
      <c r="D394" s="8">
        <v>48267</v>
      </c>
      <c r="E394" s="8">
        <v>48566</v>
      </c>
      <c r="F394" s="8">
        <v>0</v>
      </c>
      <c r="G394" s="8">
        <v>0</v>
      </c>
      <c r="H394" s="17">
        <v>28767</v>
      </c>
      <c r="I394" s="17">
        <v>0</v>
      </c>
      <c r="J394" s="17">
        <v>0</v>
      </c>
      <c r="K394" s="8">
        <v>42907</v>
      </c>
      <c r="L394" s="8"/>
      <c r="M394" s="17">
        <v>0</v>
      </c>
      <c r="N394" s="8">
        <f t="shared" si="49"/>
        <v>42907</v>
      </c>
      <c r="O394" s="8">
        <v>0</v>
      </c>
      <c r="P394" s="17">
        <f t="shared" si="52"/>
        <v>42907</v>
      </c>
      <c r="Q394" s="21">
        <v>0</v>
      </c>
    </row>
    <row r="395" spans="1:17" s="183" customFormat="1" ht="13.5" customHeight="1">
      <c r="A395" s="20"/>
      <c r="B395" s="32" t="s">
        <v>328</v>
      </c>
      <c r="C395" s="301" t="s">
        <v>342</v>
      </c>
      <c r="D395" s="8">
        <v>131863</v>
      </c>
      <c r="E395" s="8">
        <v>124716</v>
      </c>
      <c r="F395" s="8">
        <v>0</v>
      </c>
      <c r="G395" s="8">
        <v>0</v>
      </c>
      <c r="H395" s="8">
        <v>68092</v>
      </c>
      <c r="I395" s="8">
        <v>0</v>
      </c>
      <c r="J395" s="8">
        <v>0</v>
      </c>
      <c r="K395" s="8">
        <v>105116</v>
      </c>
      <c r="L395" s="8"/>
      <c r="M395" s="8"/>
      <c r="N395" s="8">
        <f t="shared" si="49"/>
        <v>105116</v>
      </c>
      <c r="O395" s="8">
        <v>0</v>
      </c>
      <c r="P395" s="17">
        <f t="shared" si="52"/>
        <v>105116</v>
      </c>
      <c r="Q395" s="21">
        <v>0</v>
      </c>
    </row>
    <row r="396" spans="1:17" s="183" customFormat="1" ht="12" customHeight="1">
      <c r="A396" s="20"/>
      <c r="B396" s="32" t="s">
        <v>273</v>
      </c>
      <c r="C396" s="301" t="s">
        <v>274</v>
      </c>
      <c r="D396" s="8"/>
      <c r="E396" s="8">
        <v>16239</v>
      </c>
      <c r="F396" s="8">
        <v>0</v>
      </c>
      <c r="G396" s="8">
        <v>0</v>
      </c>
      <c r="H396" s="8">
        <v>11100</v>
      </c>
      <c r="I396" s="8">
        <v>0</v>
      </c>
      <c r="J396" s="8">
        <v>0</v>
      </c>
      <c r="K396" s="8">
        <v>12256</v>
      </c>
      <c r="L396" s="8">
        <v>2173</v>
      </c>
      <c r="M396" s="8"/>
      <c r="N396" s="8">
        <f t="shared" si="49"/>
        <v>14429</v>
      </c>
      <c r="O396" s="8">
        <v>0</v>
      </c>
      <c r="P396" s="17">
        <f t="shared" si="52"/>
        <v>14429</v>
      </c>
      <c r="Q396" s="21">
        <v>0</v>
      </c>
    </row>
    <row r="397" spans="1:17" s="183" customFormat="1" ht="14.25" customHeight="1">
      <c r="A397" s="20"/>
      <c r="B397" s="20" t="s">
        <v>97</v>
      </c>
      <c r="C397" s="301" t="s">
        <v>111</v>
      </c>
      <c r="D397" s="8"/>
      <c r="E397" s="8"/>
      <c r="F397" s="8"/>
      <c r="G397" s="8"/>
      <c r="H397" s="7"/>
      <c r="I397" s="7"/>
      <c r="J397" s="7"/>
      <c r="K397" s="8">
        <v>6400</v>
      </c>
      <c r="L397" s="8">
        <v>9940</v>
      </c>
      <c r="M397" s="7"/>
      <c r="N397" s="8">
        <f t="shared" si="49"/>
        <v>16340</v>
      </c>
      <c r="O397" s="8">
        <v>0</v>
      </c>
      <c r="P397" s="17">
        <f t="shared" si="52"/>
        <v>16340</v>
      </c>
      <c r="Q397" s="21">
        <v>0</v>
      </c>
    </row>
    <row r="398" spans="1:17" s="183" customFormat="1" ht="14.25" customHeight="1">
      <c r="A398" s="20"/>
      <c r="B398" s="20" t="s">
        <v>275</v>
      </c>
      <c r="C398" s="301" t="s">
        <v>443</v>
      </c>
      <c r="D398" s="8"/>
      <c r="E398" s="8">
        <v>20202</v>
      </c>
      <c r="F398" s="8">
        <v>0</v>
      </c>
      <c r="G398" s="8">
        <v>0</v>
      </c>
      <c r="H398" s="8">
        <v>25567</v>
      </c>
      <c r="I398" s="8">
        <v>0</v>
      </c>
      <c r="J398" s="8">
        <v>0</v>
      </c>
      <c r="K398" s="8">
        <v>17000</v>
      </c>
      <c r="L398" s="8">
        <v>10000</v>
      </c>
      <c r="M398" s="8"/>
      <c r="N398" s="8">
        <f t="shared" si="49"/>
        <v>27000</v>
      </c>
      <c r="O398" s="8">
        <v>0</v>
      </c>
      <c r="P398" s="17">
        <f t="shared" si="52"/>
        <v>27000</v>
      </c>
      <c r="Q398" s="21">
        <v>0</v>
      </c>
    </row>
    <row r="399" spans="1:17" s="183" customFormat="1" ht="13.5" customHeight="1">
      <c r="A399" s="20"/>
      <c r="B399" s="20" t="s">
        <v>277</v>
      </c>
      <c r="C399" s="301" t="s">
        <v>397</v>
      </c>
      <c r="D399" s="8"/>
      <c r="E399" s="8">
        <v>31800</v>
      </c>
      <c r="F399" s="8">
        <v>0</v>
      </c>
      <c r="G399" s="8">
        <v>0</v>
      </c>
      <c r="H399" s="8">
        <v>34876</v>
      </c>
      <c r="I399" s="8">
        <v>0</v>
      </c>
      <c r="J399" s="8">
        <v>0</v>
      </c>
      <c r="K399" s="8">
        <v>29516</v>
      </c>
      <c r="L399" s="8"/>
      <c r="M399" s="8"/>
      <c r="N399" s="8">
        <f t="shared" si="49"/>
        <v>29516</v>
      </c>
      <c r="O399" s="8">
        <v>0</v>
      </c>
      <c r="P399" s="17">
        <f t="shared" si="52"/>
        <v>29516</v>
      </c>
      <c r="Q399" s="21">
        <v>0</v>
      </c>
    </row>
    <row r="400" spans="1:17" s="183" customFormat="1" ht="15" customHeight="1">
      <c r="A400" s="20"/>
      <c r="B400" s="20" t="s">
        <v>281</v>
      </c>
      <c r="C400" s="301" t="s">
        <v>399</v>
      </c>
      <c r="D400" s="8"/>
      <c r="E400" s="8">
        <v>17850</v>
      </c>
      <c r="F400" s="8">
        <v>0</v>
      </c>
      <c r="G400" s="8">
        <v>0</v>
      </c>
      <c r="H400" s="8">
        <v>33475</v>
      </c>
      <c r="I400" s="8">
        <v>0</v>
      </c>
      <c r="J400" s="8">
        <v>0</v>
      </c>
      <c r="K400" s="8">
        <v>27280</v>
      </c>
      <c r="L400" s="8">
        <v>0</v>
      </c>
      <c r="M400" s="8"/>
      <c r="N400" s="8">
        <f t="shared" si="49"/>
        <v>27280</v>
      </c>
      <c r="O400" s="8">
        <v>0</v>
      </c>
      <c r="P400" s="17">
        <f t="shared" si="52"/>
        <v>27280</v>
      </c>
      <c r="Q400" s="21">
        <v>0</v>
      </c>
    </row>
    <row r="401" spans="1:17" s="183" customFormat="1" ht="15" customHeight="1">
      <c r="A401" s="20"/>
      <c r="B401" s="20" t="s">
        <v>550</v>
      </c>
      <c r="C401" s="301" t="s">
        <v>399</v>
      </c>
      <c r="D401" s="8"/>
      <c r="E401" s="8"/>
      <c r="F401" s="8"/>
      <c r="G401" s="8"/>
      <c r="H401" s="8"/>
      <c r="I401" s="8"/>
      <c r="J401" s="8"/>
      <c r="K401" s="8">
        <v>20000</v>
      </c>
      <c r="L401" s="8"/>
      <c r="M401" s="8">
        <v>20000</v>
      </c>
      <c r="N401" s="8">
        <f t="shared" si="49"/>
        <v>0</v>
      </c>
      <c r="O401" s="8">
        <v>0</v>
      </c>
      <c r="P401" s="17">
        <f t="shared" si="52"/>
        <v>0</v>
      </c>
      <c r="Q401" s="21">
        <v>0</v>
      </c>
    </row>
    <row r="402" spans="1:17" s="183" customFormat="1" ht="14.25" customHeight="1">
      <c r="A402" s="20"/>
      <c r="B402" s="20" t="s">
        <v>283</v>
      </c>
      <c r="C402" s="301" t="s">
        <v>284</v>
      </c>
      <c r="D402" s="8"/>
      <c r="E402" s="8">
        <v>1400</v>
      </c>
      <c r="F402" s="8">
        <v>0</v>
      </c>
      <c r="G402" s="8">
        <v>0</v>
      </c>
      <c r="H402" s="8">
        <v>2000</v>
      </c>
      <c r="I402" s="8">
        <v>0</v>
      </c>
      <c r="J402" s="8">
        <v>0</v>
      </c>
      <c r="K402" s="8">
        <v>2000</v>
      </c>
      <c r="L402" s="8"/>
      <c r="M402" s="8"/>
      <c r="N402" s="8">
        <f t="shared" si="49"/>
        <v>2000</v>
      </c>
      <c r="O402" s="8">
        <v>0</v>
      </c>
      <c r="P402" s="17">
        <f t="shared" si="52"/>
        <v>2000</v>
      </c>
      <c r="Q402" s="21">
        <v>0</v>
      </c>
    </row>
    <row r="403" spans="1:17" s="183" customFormat="1" ht="14.25" customHeight="1">
      <c r="A403" s="20"/>
      <c r="B403" s="20" t="s">
        <v>287</v>
      </c>
      <c r="C403" s="301" t="s">
        <v>288</v>
      </c>
      <c r="D403" s="8"/>
      <c r="E403" s="8"/>
      <c r="F403" s="8"/>
      <c r="G403" s="8"/>
      <c r="H403" s="8">
        <v>12853</v>
      </c>
      <c r="I403" s="8">
        <v>0</v>
      </c>
      <c r="J403" s="8">
        <v>0</v>
      </c>
      <c r="K403" s="8">
        <v>15805</v>
      </c>
      <c r="L403" s="8">
        <v>7887</v>
      </c>
      <c r="M403" s="8"/>
      <c r="N403" s="8">
        <f t="shared" si="49"/>
        <v>23692</v>
      </c>
      <c r="O403" s="8">
        <v>0</v>
      </c>
      <c r="P403" s="17">
        <f t="shared" si="52"/>
        <v>23692</v>
      </c>
      <c r="Q403" s="21">
        <v>0</v>
      </c>
    </row>
    <row r="404" spans="1:17" s="183" customFormat="1" ht="13.5" customHeight="1">
      <c r="A404" s="20"/>
      <c r="B404" s="20" t="s">
        <v>307</v>
      </c>
      <c r="C404" s="301" t="s">
        <v>181</v>
      </c>
      <c r="D404" s="8"/>
      <c r="E404" s="8"/>
      <c r="F404" s="8"/>
      <c r="G404" s="8"/>
      <c r="H404" s="8"/>
      <c r="I404" s="8"/>
      <c r="J404" s="8"/>
      <c r="K404" s="8">
        <v>25000</v>
      </c>
      <c r="L404" s="8">
        <v>0</v>
      </c>
      <c r="M404" s="8"/>
      <c r="N404" s="8">
        <f t="shared" si="49"/>
        <v>25000</v>
      </c>
      <c r="O404" s="8">
        <v>0</v>
      </c>
      <c r="P404" s="17">
        <f t="shared" si="52"/>
        <v>25000</v>
      </c>
      <c r="Q404" s="21">
        <v>0</v>
      </c>
    </row>
    <row r="405" spans="1:17" s="183" customFormat="1" ht="13.5" customHeight="1">
      <c r="A405" s="447" t="s">
        <v>48</v>
      </c>
      <c r="B405" s="312"/>
      <c r="C405" s="448" t="s">
        <v>344</v>
      </c>
      <c r="D405" s="307"/>
      <c r="E405" s="307"/>
      <c r="F405" s="307"/>
      <c r="G405" s="307"/>
      <c r="H405" s="307"/>
      <c r="I405" s="307"/>
      <c r="J405" s="307"/>
      <c r="K405" s="449">
        <f>K406+K407+K408+K409+K410+K411+K412+K413+K414+K415+K416+K417+K418+K419+K420+K421</f>
        <v>0</v>
      </c>
      <c r="L405" s="449">
        <f>L406+L407+L408+L409+L410+L411+L412+L413+L414+L415+L416+L417+L418+L419+L420+L421</f>
        <v>361411</v>
      </c>
      <c r="M405" s="449">
        <f>M406+M407+M408+M409+M410+M411+M412+M413+M414+M415+M416+M417+M418+M419+M420+M421</f>
        <v>0</v>
      </c>
      <c r="N405" s="449">
        <f t="shared" si="49"/>
        <v>361411</v>
      </c>
      <c r="O405" s="449"/>
      <c r="P405" s="449">
        <f t="shared" si="52"/>
        <v>361411</v>
      </c>
      <c r="Q405" s="450"/>
    </row>
    <row r="406" spans="1:17" s="183" customFormat="1" ht="13.5" customHeight="1">
      <c r="A406" s="444"/>
      <c r="B406" s="444" t="s">
        <v>55</v>
      </c>
      <c r="C406" s="445" t="s">
        <v>484</v>
      </c>
      <c r="D406" s="326"/>
      <c r="E406" s="326"/>
      <c r="F406" s="326"/>
      <c r="G406" s="326"/>
      <c r="H406" s="326"/>
      <c r="I406" s="326"/>
      <c r="J406" s="326"/>
      <c r="K406" s="326">
        <v>0</v>
      </c>
      <c r="L406" s="326">
        <v>11745</v>
      </c>
      <c r="M406" s="326"/>
      <c r="N406" s="8">
        <f t="shared" si="49"/>
        <v>11745</v>
      </c>
      <c r="O406" s="326"/>
      <c r="P406" s="17">
        <f t="shared" si="52"/>
        <v>11745</v>
      </c>
      <c r="Q406" s="446"/>
    </row>
    <row r="407" spans="1:17" s="183" customFormat="1" ht="13.5" customHeight="1">
      <c r="A407" s="444"/>
      <c r="B407" s="444" t="s">
        <v>56</v>
      </c>
      <c r="C407" s="445" t="s">
        <v>484</v>
      </c>
      <c r="D407" s="326"/>
      <c r="E407" s="326"/>
      <c r="F407" s="326"/>
      <c r="G407" s="326"/>
      <c r="H407" s="326"/>
      <c r="I407" s="326"/>
      <c r="J407" s="326"/>
      <c r="K407" s="326">
        <v>0</v>
      </c>
      <c r="L407" s="326">
        <v>3915</v>
      </c>
      <c r="M407" s="326"/>
      <c r="N407" s="8">
        <f t="shared" si="49"/>
        <v>3915</v>
      </c>
      <c r="O407" s="326"/>
      <c r="P407" s="17">
        <f t="shared" si="52"/>
        <v>3915</v>
      </c>
      <c r="Q407" s="446"/>
    </row>
    <row r="408" spans="1:17" s="183" customFormat="1" ht="13.5" customHeight="1">
      <c r="A408" s="444"/>
      <c r="B408" s="444" t="s">
        <v>49</v>
      </c>
      <c r="C408" s="445" t="s">
        <v>59</v>
      </c>
      <c r="D408" s="326"/>
      <c r="E408" s="326"/>
      <c r="F408" s="326"/>
      <c r="G408" s="326"/>
      <c r="H408" s="326"/>
      <c r="I408" s="326"/>
      <c r="J408" s="326"/>
      <c r="K408" s="326">
        <v>0</v>
      </c>
      <c r="L408" s="326">
        <v>21447</v>
      </c>
      <c r="M408" s="326"/>
      <c r="N408" s="8">
        <f t="shared" si="49"/>
        <v>21447</v>
      </c>
      <c r="O408" s="326"/>
      <c r="P408" s="17">
        <f t="shared" si="52"/>
        <v>21447</v>
      </c>
      <c r="Q408" s="446"/>
    </row>
    <row r="409" spans="1:17" s="183" customFormat="1" ht="13.5" customHeight="1">
      <c r="A409" s="444"/>
      <c r="B409" s="444" t="s">
        <v>50</v>
      </c>
      <c r="C409" s="445" t="s">
        <v>59</v>
      </c>
      <c r="D409" s="326"/>
      <c r="E409" s="326"/>
      <c r="F409" s="326"/>
      <c r="G409" s="326"/>
      <c r="H409" s="326"/>
      <c r="I409" s="326"/>
      <c r="J409" s="326"/>
      <c r="K409" s="326">
        <v>0</v>
      </c>
      <c r="L409" s="326">
        <v>7149</v>
      </c>
      <c r="M409" s="326"/>
      <c r="N409" s="8">
        <f t="shared" si="49"/>
        <v>7149</v>
      </c>
      <c r="O409" s="326"/>
      <c r="P409" s="17">
        <f t="shared" si="52"/>
        <v>7149</v>
      </c>
      <c r="Q409" s="446"/>
    </row>
    <row r="410" spans="1:17" s="183" customFormat="1" ht="13.5" customHeight="1">
      <c r="A410" s="444"/>
      <c r="B410" s="444" t="s">
        <v>51</v>
      </c>
      <c r="C410" s="445" t="s">
        <v>60</v>
      </c>
      <c r="D410" s="326"/>
      <c r="E410" s="326"/>
      <c r="F410" s="326"/>
      <c r="G410" s="326"/>
      <c r="H410" s="326"/>
      <c r="I410" s="326"/>
      <c r="J410" s="326"/>
      <c r="K410" s="326">
        <v>0</v>
      </c>
      <c r="L410" s="326">
        <v>8397</v>
      </c>
      <c r="M410" s="326"/>
      <c r="N410" s="8">
        <f t="shared" si="49"/>
        <v>8397</v>
      </c>
      <c r="O410" s="326"/>
      <c r="P410" s="17">
        <f t="shared" si="52"/>
        <v>8397</v>
      </c>
      <c r="Q410" s="446"/>
    </row>
    <row r="411" spans="1:17" s="183" customFormat="1" ht="13.5" customHeight="1">
      <c r="A411" s="444"/>
      <c r="B411" s="444" t="s">
        <v>52</v>
      </c>
      <c r="C411" s="445" t="s">
        <v>60</v>
      </c>
      <c r="D411" s="326"/>
      <c r="E411" s="326"/>
      <c r="F411" s="326"/>
      <c r="G411" s="326"/>
      <c r="H411" s="326"/>
      <c r="I411" s="326"/>
      <c r="J411" s="326"/>
      <c r="K411" s="326">
        <v>0</v>
      </c>
      <c r="L411" s="326">
        <v>2866</v>
      </c>
      <c r="M411" s="326"/>
      <c r="N411" s="8">
        <f t="shared" si="49"/>
        <v>2866</v>
      </c>
      <c r="O411" s="326"/>
      <c r="P411" s="17">
        <f t="shared" si="52"/>
        <v>2866</v>
      </c>
      <c r="Q411" s="446"/>
    </row>
    <row r="412" spans="1:17" s="183" customFormat="1" ht="13.5" customHeight="1">
      <c r="A412" s="444"/>
      <c r="B412" s="444" t="s">
        <v>53</v>
      </c>
      <c r="C412" s="445" t="s">
        <v>61</v>
      </c>
      <c r="D412" s="326"/>
      <c r="E412" s="326"/>
      <c r="F412" s="326"/>
      <c r="G412" s="326"/>
      <c r="H412" s="326"/>
      <c r="I412" s="326"/>
      <c r="J412" s="326"/>
      <c r="K412" s="326">
        <v>0</v>
      </c>
      <c r="L412" s="326">
        <v>1229</v>
      </c>
      <c r="M412" s="326"/>
      <c r="N412" s="8">
        <f t="shared" si="49"/>
        <v>1229</v>
      </c>
      <c r="O412" s="326"/>
      <c r="P412" s="17">
        <f t="shared" si="52"/>
        <v>1229</v>
      </c>
      <c r="Q412" s="446"/>
    </row>
    <row r="413" spans="1:17" s="183" customFormat="1" ht="13.5" customHeight="1">
      <c r="A413" s="444"/>
      <c r="B413" s="444" t="s">
        <v>54</v>
      </c>
      <c r="C413" s="445" t="s">
        <v>61</v>
      </c>
      <c r="D413" s="326"/>
      <c r="E413" s="326"/>
      <c r="F413" s="326"/>
      <c r="G413" s="326"/>
      <c r="H413" s="326"/>
      <c r="I413" s="326"/>
      <c r="J413" s="326"/>
      <c r="K413" s="326">
        <v>0</v>
      </c>
      <c r="L413" s="326">
        <v>416</v>
      </c>
      <c r="M413" s="326"/>
      <c r="N413" s="8">
        <f t="shared" si="49"/>
        <v>416</v>
      </c>
      <c r="O413" s="326"/>
      <c r="P413" s="17">
        <f t="shared" si="52"/>
        <v>416</v>
      </c>
      <c r="Q413" s="446"/>
    </row>
    <row r="414" spans="1:17" s="183" customFormat="1" ht="13.5" customHeight="1">
      <c r="A414" s="444"/>
      <c r="B414" s="444" t="s">
        <v>547</v>
      </c>
      <c r="C414" s="445" t="s">
        <v>111</v>
      </c>
      <c r="D414" s="326"/>
      <c r="E414" s="326"/>
      <c r="F414" s="326"/>
      <c r="G414" s="326"/>
      <c r="H414" s="326"/>
      <c r="I414" s="326"/>
      <c r="J414" s="326"/>
      <c r="K414" s="326">
        <v>0</v>
      </c>
      <c r="L414" s="326">
        <v>53322</v>
      </c>
      <c r="M414" s="326"/>
      <c r="N414" s="8">
        <f t="shared" si="49"/>
        <v>53322</v>
      </c>
      <c r="O414" s="326"/>
      <c r="P414" s="17">
        <f t="shared" si="52"/>
        <v>53322</v>
      </c>
      <c r="Q414" s="446"/>
    </row>
    <row r="415" spans="1:17" s="183" customFormat="1" ht="13.5" customHeight="1">
      <c r="A415" s="444"/>
      <c r="B415" s="444" t="s">
        <v>548</v>
      </c>
      <c r="C415" s="445" t="s">
        <v>111</v>
      </c>
      <c r="D415" s="326"/>
      <c r="E415" s="326"/>
      <c r="F415" s="326"/>
      <c r="G415" s="326"/>
      <c r="H415" s="326"/>
      <c r="I415" s="326"/>
      <c r="J415" s="326"/>
      <c r="K415" s="326">
        <v>0</v>
      </c>
      <c r="L415" s="326">
        <v>17774</v>
      </c>
      <c r="M415" s="326"/>
      <c r="N415" s="8">
        <f t="shared" si="49"/>
        <v>17774</v>
      </c>
      <c r="O415" s="326"/>
      <c r="P415" s="17">
        <f t="shared" si="52"/>
        <v>17774</v>
      </c>
      <c r="Q415" s="446"/>
    </row>
    <row r="416" spans="1:17" s="183" customFormat="1" ht="13.5" customHeight="1">
      <c r="A416" s="444"/>
      <c r="B416" s="444" t="s">
        <v>549</v>
      </c>
      <c r="C416" s="445" t="s">
        <v>276</v>
      </c>
      <c r="D416" s="326"/>
      <c r="E416" s="326"/>
      <c r="F416" s="326"/>
      <c r="G416" s="326"/>
      <c r="H416" s="326"/>
      <c r="I416" s="326"/>
      <c r="J416" s="326"/>
      <c r="K416" s="326">
        <v>0</v>
      </c>
      <c r="L416" s="326">
        <v>16416</v>
      </c>
      <c r="M416" s="326"/>
      <c r="N416" s="8">
        <f t="shared" si="49"/>
        <v>16416</v>
      </c>
      <c r="O416" s="326"/>
      <c r="P416" s="17">
        <f t="shared" si="52"/>
        <v>16416</v>
      </c>
      <c r="Q416" s="446"/>
    </row>
    <row r="417" spans="1:17" s="183" customFormat="1" ht="13.5" customHeight="1">
      <c r="A417" s="444"/>
      <c r="B417" s="444" t="s">
        <v>552</v>
      </c>
      <c r="C417" s="445" t="s">
        <v>276</v>
      </c>
      <c r="D417" s="326"/>
      <c r="E417" s="326"/>
      <c r="F417" s="326"/>
      <c r="G417" s="326"/>
      <c r="H417" s="326"/>
      <c r="I417" s="326"/>
      <c r="J417" s="326"/>
      <c r="K417" s="326">
        <v>0</v>
      </c>
      <c r="L417" s="326">
        <v>5473</v>
      </c>
      <c r="M417" s="326"/>
      <c r="N417" s="8">
        <f t="shared" si="49"/>
        <v>5473</v>
      </c>
      <c r="O417" s="326"/>
      <c r="P417" s="17">
        <f t="shared" si="52"/>
        <v>5473</v>
      </c>
      <c r="Q417" s="446"/>
    </row>
    <row r="418" spans="1:17" s="183" customFormat="1" ht="13.5" customHeight="1">
      <c r="A418" s="444"/>
      <c r="B418" s="444" t="s">
        <v>57</v>
      </c>
      <c r="C418" s="445" t="s">
        <v>437</v>
      </c>
      <c r="D418" s="326"/>
      <c r="E418" s="326"/>
      <c r="F418" s="326"/>
      <c r="G418" s="326"/>
      <c r="H418" s="326"/>
      <c r="I418" s="326"/>
      <c r="J418" s="326"/>
      <c r="K418" s="326">
        <v>0</v>
      </c>
      <c r="L418" s="326">
        <v>4950</v>
      </c>
      <c r="M418" s="326"/>
      <c r="N418" s="8">
        <f t="shared" si="49"/>
        <v>4950</v>
      </c>
      <c r="O418" s="326"/>
      <c r="P418" s="17">
        <f t="shared" si="52"/>
        <v>4950</v>
      </c>
      <c r="Q418" s="446"/>
    </row>
    <row r="419" spans="1:17" s="183" customFormat="1" ht="13.5" customHeight="1">
      <c r="A419" s="444"/>
      <c r="B419" s="444" t="s">
        <v>58</v>
      </c>
      <c r="C419" s="445" t="s">
        <v>437</v>
      </c>
      <c r="D419" s="326"/>
      <c r="E419" s="326"/>
      <c r="F419" s="326"/>
      <c r="G419" s="326"/>
      <c r="H419" s="326"/>
      <c r="I419" s="326"/>
      <c r="J419" s="326"/>
      <c r="K419" s="326">
        <v>0</v>
      </c>
      <c r="L419" s="326">
        <v>1650</v>
      </c>
      <c r="M419" s="326"/>
      <c r="N419" s="8">
        <f t="shared" si="49"/>
        <v>1650</v>
      </c>
      <c r="O419" s="326"/>
      <c r="P419" s="17">
        <f t="shared" si="52"/>
        <v>1650</v>
      </c>
      <c r="Q419" s="446"/>
    </row>
    <row r="420" spans="1:17" s="183" customFormat="1" ht="13.5" customHeight="1">
      <c r="A420" s="444"/>
      <c r="B420" s="444" t="s">
        <v>550</v>
      </c>
      <c r="C420" s="445" t="s">
        <v>399</v>
      </c>
      <c r="D420" s="326"/>
      <c r="E420" s="326"/>
      <c r="F420" s="326"/>
      <c r="G420" s="326"/>
      <c r="H420" s="326"/>
      <c r="I420" s="326"/>
      <c r="J420" s="326"/>
      <c r="K420" s="326">
        <v>0</v>
      </c>
      <c r="L420" s="326">
        <v>153494</v>
      </c>
      <c r="M420" s="326"/>
      <c r="N420" s="8">
        <f t="shared" si="49"/>
        <v>153494</v>
      </c>
      <c r="O420" s="326"/>
      <c r="P420" s="17">
        <f t="shared" si="52"/>
        <v>153494</v>
      </c>
      <c r="Q420" s="446"/>
    </row>
    <row r="421" spans="1:17" s="183" customFormat="1" ht="13.5" customHeight="1">
      <c r="A421" s="444"/>
      <c r="B421" s="444" t="s">
        <v>551</v>
      </c>
      <c r="C421" s="445" t="s">
        <v>399</v>
      </c>
      <c r="D421" s="326"/>
      <c r="E421" s="326"/>
      <c r="F421" s="326"/>
      <c r="G421" s="326"/>
      <c r="H421" s="326"/>
      <c r="I421" s="326"/>
      <c r="J421" s="326"/>
      <c r="K421" s="326">
        <v>0</v>
      </c>
      <c r="L421" s="326">
        <v>51168</v>
      </c>
      <c r="M421" s="326"/>
      <c r="N421" s="326">
        <f t="shared" si="49"/>
        <v>51168</v>
      </c>
      <c r="O421" s="326"/>
      <c r="P421" s="188">
        <f t="shared" si="52"/>
        <v>51168</v>
      </c>
      <c r="Q421" s="446"/>
    </row>
    <row r="422" spans="1:17" s="182" customFormat="1" ht="22.5" customHeight="1">
      <c r="A422" s="180" t="s">
        <v>500</v>
      </c>
      <c r="B422" s="180"/>
      <c r="C422" s="181" t="s">
        <v>501</v>
      </c>
      <c r="D422" s="174" t="e">
        <f>D423+D439+D454+#REF!+D480</f>
        <v>#REF!</v>
      </c>
      <c r="E422" s="174" t="e">
        <f>E423+E439+E454+#REF!+E480+#REF!+E485</f>
        <v>#REF!</v>
      </c>
      <c r="F422" s="174" t="e">
        <f>F423+F439+F454+F480+#REF!+F485</f>
        <v>#REF!</v>
      </c>
      <c r="G422" s="174" t="e">
        <f>G423+G439+G454+G480+#REF!+G485</f>
        <v>#REF!</v>
      </c>
      <c r="H422" s="174" t="e">
        <f>H423+#REF!+H439+H454+H480+H485+H470</f>
        <v>#REF!</v>
      </c>
      <c r="I422" s="174" t="e">
        <f>I423+#REF!+I439+I454+I480+I485+I470</f>
        <v>#REF!</v>
      </c>
      <c r="J422" s="174" t="e">
        <f>J423+#REF!+J439+J454+J480+J485+J470</f>
        <v>#REF!</v>
      </c>
      <c r="K422" s="174">
        <f>K423+K439+K454+K480+K485+K470</f>
        <v>3929740</v>
      </c>
      <c r="L422" s="174">
        <f>L423+L439+L454+L480+L485+L470</f>
        <v>294010</v>
      </c>
      <c r="M422" s="174">
        <f>M423+M439+M454+M480+M485+M470</f>
        <v>4750</v>
      </c>
      <c r="N422" s="174">
        <f t="shared" si="49"/>
        <v>4219000</v>
      </c>
      <c r="O422" s="174">
        <f>O423+O439+O454+O480+O485+O470</f>
        <v>0</v>
      </c>
      <c r="P422" s="174">
        <f>P423+P439+P454+P480+P485+P470</f>
        <v>4217500</v>
      </c>
      <c r="Q422" s="174">
        <f>Q423+Q439+Q454+Q480+Q485+Q470</f>
        <v>1500</v>
      </c>
    </row>
    <row r="423" spans="1:17" s="183" customFormat="1" ht="24" customHeight="1">
      <c r="A423" s="198" t="s">
        <v>502</v>
      </c>
      <c r="B423" s="312"/>
      <c r="C423" s="310" t="s">
        <v>503</v>
      </c>
      <c r="D423" s="169" t="e">
        <f>D425+D426+D427+#REF!</f>
        <v>#REF!</v>
      </c>
      <c r="E423" s="169" t="e">
        <f>E425+E426+E427+E428+E424+E429+E430+E431+#REF!+E433+E434+#REF!+E436+#REF!</f>
        <v>#REF!</v>
      </c>
      <c r="F423" s="169" t="e">
        <f>F425+F426+F427+F428+F424+F429+F430+F431+#REF!+F433+F434+#REF!+F436+#REF!</f>
        <v>#REF!</v>
      </c>
      <c r="G423" s="169" t="e">
        <f>G425+G426+G427+G428+G424+G429+G430+G431+#REF!+G433+G434+#REF!+G436+#REF!</f>
        <v>#REF!</v>
      </c>
      <c r="H423" s="169" t="e">
        <f>H425+H426+H427+H428+H429+H430+H431+#REF!+H433+H434+#REF!+H436+#REF!+#REF!</f>
        <v>#REF!</v>
      </c>
      <c r="I423" s="169" t="e">
        <f>I425+I426+I427+I428+I429+I430+I431+#REF!+I433+I434+#REF!+I436+#REF!+#REF!</f>
        <v>#REF!</v>
      </c>
      <c r="J423" s="169" t="e">
        <f>J425+J426+J427+J428+J429+J430+J431+#REF!+J433+J434+#REF!+J436+#REF!+#REF!</f>
        <v>#REF!</v>
      </c>
      <c r="K423" s="169">
        <f>SUM(K424:K438)</f>
        <v>1456780</v>
      </c>
      <c r="L423" s="169">
        <f>SUM(L424:L438)</f>
        <v>0</v>
      </c>
      <c r="M423" s="169">
        <f>SUM(M424:M438)</f>
        <v>0</v>
      </c>
      <c r="N423" s="169">
        <f t="shared" si="49"/>
        <v>1456780</v>
      </c>
      <c r="O423" s="169">
        <f>SUM(O424:O436)</f>
        <v>0</v>
      </c>
      <c r="P423" s="169">
        <f>SUM(P424:P438)</f>
        <v>1456780</v>
      </c>
      <c r="Q423" s="169">
        <f>SUM(Q424:Q436)</f>
        <v>0</v>
      </c>
    </row>
    <row r="424" spans="1:17" s="183" customFormat="1" ht="16.5" customHeight="1">
      <c r="A424" s="20"/>
      <c r="B424" s="32" t="s">
        <v>248</v>
      </c>
      <c r="C424" s="301" t="s">
        <v>446</v>
      </c>
      <c r="D424" s="8"/>
      <c r="E424" s="8">
        <v>32821</v>
      </c>
      <c r="F424" s="8">
        <v>0</v>
      </c>
      <c r="G424" s="8">
        <v>0</v>
      </c>
      <c r="H424" s="7"/>
      <c r="I424" s="7"/>
      <c r="J424" s="7"/>
      <c r="K424" s="8">
        <v>0</v>
      </c>
      <c r="L424" s="8"/>
      <c r="M424" s="7"/>
      <c r="N424" s="8">
        <f t="shared" si="49"/>
        <v>0</v>
      </c>
      <c r="O424" s="8">
        <v>0</v>
      </c>
      <c r="P424" s="21">
        <f>N424</f>
        <v>0</v>
      </c>
      <c r="Q424" s="21">
        <v>0</v>
      </c>
    </row>
    <row r="425" spans="1:17" s="183" customFormat="1" ht="15.75" customHeight="1">
      <c r="A425" s="20"/>
      <c r="B425" s="20" t="s">
        <v>265</v>
      </c>
      <c r="C425" s="301" t="s">
        <v>266</v>
      </c>
      <c r="D425" s="8">
        <v>1270889</v>
      </c>
      <c r="E425" s="8">
        <v>1044649</v>
      </c>
      <c r="F425" s="8">
        <v>19143</v>
      </c>
      <c r="G425" s="8">
        <v>45000</v>
      </c>
      <c r="H425" s="8">
        <v>562350</v>
      </c>
      <c r="I425" s="8">
        <v>0</v>
      </c>
      <c r="J425" s="8">
        <v>0</v>
      </c>
      <c r="K425" s="8">
        <v>667017</v>
      </c>
      <c r="L425" s="8">
        <v>0</v>
      </c>
      <c r="M425" s="8"/>
      <c r="N425" s="8">
        <f t="shared" si="49"/>
        <v>667017</v>
      </c>
      <c r="O425" s="8">
        <v>0</v>
      </c>
      <c r="P425" s="21">
        <f aca="true" t="shared" si="53" ref="P425:P438">N425</f>
        <v>667017</v>
      </c>
      <c r="Q425" s="21">
        <v>0</v>
      </c>
    </row>
    <row r="426" spans="1:17" s="183" customFormat="1" ht="14.25" customHeight="1">
      <c r="A426" s="20"/>
      <c r="B426" s="20" t="s">
        <v>269</v>
      </c>
      <c r="C426" s="301" t="s">
        <v>270</v>
      </c>
      <c r="D426" s="8">
        <v>95035</v>
      </c>
      <c r="E426" s="8">
        <v>92025</v>
      </c>
      <c r="F426" s="8">
        <v>0</v>
      </c>
      <c r="G426" s="8">
        <v>0</v>
      </c>
      <c r="H426" s="8">
        <v>46308</v>
      </c>
      <c r="I426" s="8">
        <v>0</v>
      </c>
      <c r="J426" s="8">
        <v>0</v>
      </c>
      <c r="K426" s="8">
        <v>42690</v>
      </c>
      <c r="L426" s="8"/>
      <c r="M426" s="8">
        <v>0</v>
      </c>
      <c r="N426" s="8">
        <f t="shared" si="49"/>
        <v>42690</v>
      </c>
      <c r="O426" s="8">
        <v>0</v>
      </c>
      <c r="P426" s="21">
        <f t="shared" si="53"/>
        <v>42690</v>
      </c>
      <c r="Q426" s="21">
        <v>0</v>
      </c>
    </row>
    <row r="427" spans="1:17" s="183" customFormat="1" ht="13.5" customHeight="1">
      <c r="A427" s="20"/>
      <c r="B427" s="32" t="s">
        <v>298</v>
      </c>
      <c r="C427" s="301" t="s">
        <v>342</v>
      </c>
      <c r="D427" s="8">
        <v>274033</v>
      </c>
      <c r="E427" s="8">
        <v>199495</v>
      </c>
      <c r="F427" s="8">
        <v>2349</v>
      </c>
      <c r="G427" s="8">
        <v>8046</v>
      </c>
      <c r="H427" s="8">
        <v>107000</v>
      </c>
      <c r="I427" s="8">
        <v>0</v>
      </c>
      <c r="J427" s="8">
        <v>0</v>
      </c>
      <c r="K427" s="8">
        <v>127600</v>
      </c>
      <c r="L427" s="8"/>
      <c r="M427" s="8"/>
      <c r="N427" s="8">
        <f t="shared" si="49"/>
        <v>127600</v>
      </c>
      <c r="O427" s="8">
        <v>0</v>
      </c>
      <c r="P427" s="21">
        <f t="shared" si="53"/>
        <v>127600</v>
      </c>
      <c r="Q427" s="21">
        <v>0</v>
      </c>
    </row>
    <row r="428" spans="1:17" s="183" customFormat="1" ht="14.25" customHeight="1">
      <c r="A428" s="20"/>
      <c r="B428" s="32" t="s">
        <v>273</v>
      </c>
      <c r="C428" s="301" t="s">
        <v>274</v>
      </c>
      <c r="D428" s="8"/>
      <c r="E428" s="8">
        <v>27615</v>
      </c>
      <c r="F428" s="8">
        <v>321</v>
      </c>
      <c r="G428" s="8">
        <v>1102</v>
      </c>
      <c r="H428" s="8">
        <v>14660</v>
      </c>
      <c r="I428" s="8">
        <v>0</v>
      </c>
      <c r="J428" s="8">
        <v>0</v>
      </c>
      <c r="K428" s="8">
        <v>17000</v>
      </c>
      <c r="L428" s="8"/>
      <c r="M428" s="8"/>
      <c r="N428" s="8">
        <f t="shared" si="49"/>
        <v>17000</v>
      </c>
      <c r="O428" s="8">
        <v>0</v>
      </c>
      <c r="P428" s="21">
        <f t="shared" si="53"/>
        <v>17000</v>
      </c>
      <c r="Q428" s="21">
        <v>0</v>
      </c>
    </row>
    <row r="429" spans="1:17" s="183" customFormat="1" ht="14.25" customHeight="1">
      <c r="A429" s="20"/>
      <c r="B429" s="32" t="s">
        <v>275</v>
      </c>
      <c r="C429" s="301" t="s">
        <v>443</v>
      </c>
      <c r="D429" s="8"/>
      <c r="E429" s="8">
        <v>123652</v>
      </c>
      <c r="F429" s="8">
        <v>12612</v>
      </c>
      <c r="G429" s="8">
        <v>0</v>
      </c>
      <c r="H429" s="8">
        <v>114868</v>
      </c>
      <c r="I429" s="8">
        <v>0</v>
      </c>
      <c r="J429" s="8">
        <v>0</v>
      </c>
      <c r="K429" s="8">
        <v>74057</v>
      </c>
      <c r="L429" s="8"/>
      <c r="M429" s="8">
        <v>0</v>
      </c>
      <c r="N429" s="8">
        <f t="shared" si="49"/>
        <v>74057</v>
      </c>
      <c r="O429" s="8">
        <v>0</v>
      </c>
      <c r="P429" s="21">
        <f t="shared" si="53"/>
        <v>74057</v>
      </c>
      <c r="Q429" s="21">
        <v>0</v>
      </c>
    </row>
    <row r="430" spans="1:17" s="183" customFormat="1" ht="15" customHeight="1">
      <c r="A430" s="20"/>
      <c r="B430" s="32" t="s">
        <v>393</v>
      </c>
      <c r="C430" s="301" t="s">
        <v>485</v>
      </c>
      <c r="D430" s="8"/>
      <c r="E430" s="8">
        <v>145078</v>
      </c>
      <c r="F430" s="8">
        <v>0</v>
      </c>
      <c r="G430" s="8">
        <v>20000</v>
      </c>
      <c r="H430" s="8">
        <v>57000</v>
      </c>
      <c r="I430" s="8">
        <v>0</v>
      </c>
      <c r="J430" s="8">
        <v>0</v>
      </c>
      <c r="K430" s="8">
        <v>65000</v>
      </c>
      <c r="L430" s="8"/>
      <c r="M430" s="8"/>
      <c r="N430" s="8">
        <f t="shared" si="49"/>
        <v>65000</v>
      </c>
      <c r="O430" s="8">
        <v>0</v>
      </c>
      <c r="P430" s="21">
        <f t="shared" si="53"/>
        <v>65000</v>
      </c>
      <c r="Q430" s="21">
        <v>0</v>
      </c>
    </row>
    <row r="431" spans="1:17" s="183" customFormat="1" ht="14.25" customHeight="1">
      <c r="A431" s="20"/>
      <c r="B431" s="32" t="s">
        <v>277</v>
      </c>
      <c r="C431" s="301" t="s">
        <v>397</v>
      </c>
      <c r="D431" s="8"/>
      <c r="E431" s="8">
        <v>21328</v>
      </c>
      <c r="F431" s="8">
        <v>3000</v>
      </c>
      <c r="G431" s="8">
        <v>0</v>
      </c>
      <c r="H431" s="8">
        <v>17200</v>
      </c>
      <c r="I431" s="8">
        <v>0</v>
      </c>
      <c r="J431" s="8">
        <v>0</v>
      </c>
      <c r="K431" s="8">
        <v>17500</v>
      </c>
      <c r="L431" s="8"/>
      <c r="M431" s="8"/>
      <c r="N431" s="8">
        <f t="shared" si="49"/>
        <v>17500</v>
      </c>
      <c r="O431" s="8">
        <v>0</v>
      </c>
      <c r="P431" s="21">
        <f t="shared" si="53"/>
        <v>17500</v>
      </c>
      <c r="Q431" s="21">
        <v>0</v>
      </c>
    </row>
    <row r="432" spans="1:17" s="183" customFormat="1" ht="14.25" customHeight="1">
      <c r="A432" s="20"/>
      <c r="B432" s="32" t="s">
        <v>279</v>
      </c>
      <c r="C432" s="301" t="s">
        <v>398</v>
      </c>
      <c r="D432" s="8"/>
      <c r="E432" s="8"/>
      <c r="F432" s="8"/>
      <c r="G432" s="8"/>
      <c r="H432" s="8"/>
      <c r="I432" s="8"/>
      <c r="J432" s="8"/>
      <c r="K432" s="8">
        <v>12810</v>
      </c>
      <c r="L432" s="8">
        <v>0</v>
      </c>
      <c r="M432" s="8"/>
      <c r="N432" s="8">
        <f t="shared" si="49"/>
        <v>12810</v>
      </c>
      <c r="O432" s="8"/>
      <c r="P432" s="21">
        <f t="shared" si="53"/>
        <v>12810</v>
      </c>
      <c r="Q432" s="21"/>
    </row>
    <row r="433" spans="1:17" s="183" customFormat="1" ht="15" customHeight="1">
      <c r="A433" s="20"/>
      <c r="B433" s="32" t="s">
        <v>281</v>
      </c>
      <c r="C433" s="301" t="s">
        <v>399</v>
      </c>
      <c r="D433" s="8"/>
      <c r="E433" s="8">
        <v>22737</v>
      </c>
      <c r="F433" s="8">
        <v>4000</v>
      </c>
      <c r="G433" s="8">
        <v>0</v>
      </c>
      <c r="H433" s="8">
        <v>27250</v>
      </c>
      <c r="I433" s="8">
        <v>0</v>
      </c>
      <c r="J433" s="8">
        <v>0</v>
      </c>
      <c r="K433" s="8">
        <v>26390</v>
      </c>
      <c r="L433" s="8"/>
      <c r="M433" s="8">
        <v>0</v>
      </c>
      <c r="N433" s="8">
        <f t="shared" si="49"/>
        <v>26390</v>
      </c>
      <c r="O433" s="8">
        <v>0</v>
      </c>
      <c r="P433" s="21">
        <f t="shared" si="53"/>
        <v>26390</v>
      </c>
      <c r="Q433" s="21">
        <v>0</v>
      </c>
    </row>
    <row r="434" spans="1:17" s="183" customFormat="1" ht="14.25" customHeight="1">
      <c r="A434" s="20"/>
      <c r="B434" s="32" t="s">
        <v>283</v>
      </c>
      <c r="C434" s="301" t="s">
        <v>284</v>
      </c>
      <c r="D434" s="8"/>
      <c r="E434" s="8">
        <v>2384</v>
      </c>
      <c r="F434" s="8">
        <v>0</v>
      </c>
      <c r="G434" s="8">
        <v>800</v>
      </c>
      <c r="H434" s="8">
        <v>300</v>
      </c>
      <c r="I434" s="8">
        <v>0</v>
      </c>
      <c r="J434" s="8">
        <v>0</v>
      </c>
      <c r="K434" s="8">
        <v>3000</v>
      </c>
      <c r="L434" s="8"/>
      <c r="M434" s="8"/>
      <c r="N434" s="8">
        <f t="shared" si="49"/>
        <v>3000</v>
      </c>
      <c r="O434" s="8">
        <v>0</v>
      </c>
      <c r="P434" s="21">
        <f t="shared" si="53"/>
        <v>3000</v>
      </c>
      <c r="Q434" s="21">
        <v>0</v>
      </c>
    </row>
    <row r="435" spans="1:17" s="183" customFormat="1" ht="14.25" customHeight="1">
      <c r="A435" s="20"/>
      <c r="B435" s="32" t="s">
        <v>285</v>
      </c>
      <c r="C435" s="301" t="s">
        <v>286</v>
      </c>
      <c r="D435" s="8"/>
      <c r="E435" s="8"/>
      <c r="F435" s="8"/>
      <c r="G435" s="8"/>
      <c r="H435" s="8"/>
      <c r="I435" s="8"/>
      <c r="J435" s="8"/>
      <c r="K435" s="8">
        <v>842</v>
      </c>
      <c r="L435" s="8"/>
      <c r="M435" s="8">
        <v>0</v>
      </c>
      <c r="N435" s="8">
        <f t="shared" si="49"/>
        <v>842</v>
      </c>
      <c r="O435" s="8">
        <v>0</v>
      </c>
      <c r="P435" s="21">
        <f t="shared" si="53"/>
        <v>842</v>
      </c>
      <c r="Q435" s="21">
        <v>0</v>
      </c>
    </row>
    <row r="436" spans="1:17" s="183" customFormat="1" ht="14.25" customHeight="1">
      <c r="A436" s="20"/>
      <c r="B436" s="32" t="s">
        <v>287</v>
      </c>
      <c r="C436" s="301" t="s">
        <v>288</v>
      </c>
      <c r="D436" s="8"/>
      <c r="E436" s="8">
        <v>79227</v>
      </c>
      <c r="F436" s="8">
        <v>0</v>
      </c>
      <c r="G436" s="8">
        <v>0</v>
      </c>
      <c r="H436" s="8">
        <v>31503</v>
      </c>
      <c r="I436" s="8">
        <v>0</v>
      </c>
      <c r="J436" s="8">
        <v>0</v>
      </c>
      <c r="K436" s="8">
        <v>35318</v>
      </c>
      <c r="L436" s="8"/>
      <c r="M436" s="8"/>
      <c r="N436" s="8">
        <f t="shared" si="49"/>
        <v>35318</v>
      </c>
      <c r="O436" s="8">
        <v>0</v>
      </c>
      <c r="P436" s="21">
        <f t="shared" si="53"/>
        <v>35318</v>
      </c>
      <c r="Q436" s="21">
        <v>0</v>
      </c>
    </row>
    <row r="437" spans="1:17" s="183" customFormat="1" ht="14.25" customHeight="1">
      <c r="A437" s="20"/>
      <c r="B437" s="32" t="s">
        <v>303</v>
      </c>
      <c r="C437" s="301" t="s">
        <v>304</v>
      </c>
      <c r="D437" s="8"/>
      <c r="E437" s="8"/>
      <c r="F437" s="8"/>
      <c r="G437" s="8"/>
      <c r="H437" s="8"/>
      <c r="I437" s="8"/>
      <c r="J437" s="8"/>
      <c r="K437" s="8">
        <v>358</v>
      </c>
      <c r="L437" s="8">
        <v>0</v>
      </c>
      <c r="M437" s="8"/>
      <c r="N437" s="8">
        <f t="shared" si="49"/>
        <v>358</v>
      </c>
      <c r="O437" s="8"/>
      <c r="P437" s="21">
        <f t="shared" si="53"/>
        <v>358</v>
      </c>
      <c r="Q437" s="21"/>
    </row>
    <row r="438" spans="1:17" s="183" customFormat="1" ht="14.25" customHeight="1">
      <c r="A438" s="20"/>
      <c r="B438" s="32" t="s">
        <v>305</v>
      </c>
      <c r="C438" s="301" t="s">
        <v>607</v>
      </c>
      <c r="D438" s="8"/>
      <c r="E438" s="8"/>
      <c r="F438" s="8"/>
      <c r="G438" s="8"/>
      <c r="H438" s="8"/>
      <c r="I438" s="8"/>
      <c r="J438" s="8"/>
      <c r="K438" s="8">
        <v>367198</v>
      </c>
      <c r="L438" s="8">
        <v>0</v>
      </c>
      <c r="M438" s="8">
        <v>0</v>
      </c>
      <c r="N438" s="8">
        <f t="shared" si="49"/>
        <v>367198</v>
      </c>
      <c r="O438" s="8">
        <v>0</v>
      </c>
      <c r="P438" s="21">
        <f t="shared" si="53"/>
        <v>367198</v>
      </c>
      <c r="Q438" s="21">
        <v>0</v>
      </c>
    </row>
    <row r="439" spans="1:17" s="183" customFormat="1" ht="19.5" customHeight="1">
      <c r="A439" s="198" t="s">
        <v>505</v>
      </c>
      <c r="B439" s="312"/>
      <c r="C439" s="197" t="s">
        <v>506</v>
      </c>
      <c r="D439" s="169" t="e">
        <f>D441+D442+D443+#REF!</f>
        <v>#REF!</v>
      </c>
      <c r="E439" s="169" t="e">
        <f>E441+E442+E443+E444+E440+E446+E447+E448+#REF!+E449+E451+#REF!+E452</f>
        <v>#REF!</v>
      </c>
      <c r="F439" s="169" t="e">
        <f>F441+F442+F443+F444+F440+F446+F447+F448+#REF!+F449+F451+#REF!+F452</f>
        <v>#REF!</v>
      </c>
      <c r="G439" s="169" t="e">
        <f>G441+G442+G443+G444+G440+G446+G447+G448+#REF!+G449+G451+#REF!+G452</f>
        <v>#REF!</v>
      </c>
      <c r="H439" s="169" t="e">
        <f>H441+H442+H443+H444+H440+H446+H447+H448+H449+H451+#REF!+H452+H453</f>
        <v>#REF!</v>
      </c>
      <c r="I439" s="169" t="e">
        <f>I441+I442+I443+I444+I440+I446+I447+I448+I449+I451+#REF!+I452+I453</f>
        <v>#REF!</v>
      </c>
      <c r="J439" s="169" t="e">
        <f>J441+J442+J443+J444+J440+J446+J447+J448+J449+J451+#REF!+J452+J453</f>
        <v>#REF!</v>
      </c>
      <c r="K439" s="169">
        <f>SUM(K440:K453)</f>
        <v>416000</v>
      </c>
      <c r="L439" s="169">
        <f>SUM(L440:L453)</f>
        <v>0</v>
      </c>
      <c r="M439" s="169">
        <f>SUM(M440:M453)</f>
        <v>0</v>
      </c>
      <c r="N439" s="169">
        <f aca="true" t="shared" si="54" ref="N439:N491">K439+L439-M439</f>
        <v>416000</v>
      </c>
      <c r="O439" s="169">
        <f>SUM(O440:O453)</f>
        <v>0</v>
      </c>
      <c r="P439" s="169">
        <f>SUM(P440:P453)</f>
        <v>416000</v>
      </c>
      <c r="Q439" s="169">
        <f>SUM(Q440:Q453)</f>
        <v>0</v>
      </c>
    </row>
    <row r="440" spans="1:17" s="183" customFormat="1" ht="14.25" customHeight="1">
      <c r="A440" s="20"/>
      <c r="B440" s="32" t="s">
        <v>248</v>
      </c>
      <c r="C440" s="301" t="s">
        <v>446</v>
      </c>
      <c r="D440" s="8"/>
      <c r="E440" s="8">
        <v>4293</v>
      </c>
      <c r="F440" s="8">
        <v>0</v>
      </c>
      <c r="G440" s="8">
        <v>0</v>
      </c>
      <c r="H440" s="8">
        <v>3580</v>
      </c>
      <c r="I440" s="8">
        <v>0</v>
      </c>
      <c r="J440" s="8">
        <v>0</v>
      </c>
      <c r="K440" s="8">
        <v>0</v>
      </c>
      <c r="L440" s="8"/>
      <c r="M440" s="8"/>
      <c r="N440" s="8">
        <f t="shared" si="54"/>
        <v>0</v>
      </c>
      <c r="O440" s="8">
        <v>0</v>
      </c>
      <c r="P440" s="21">
        <f>N440</f>
        <v>0</v>
      </c>
      <c r="Q440" s="21">
        <v>0</v>
      </c>
    </row>
    <row r="441" spans="1:17" s="183" customFormat="1" ht="14.25" customHeight="1">
      <c r="A441" s="20"/>
      <c r="B441" s="20" t="s">
        <v>265</v>
      </c>
      <c r="C441" s="301" t="s">
        <v>182</v>
      </c>
      <c r="D441" s="8">
        <v>338872</v>
      </c>
      <c r="E441" s="8">
        <v>347249</v>
      </c>
      <c r="F441" s="8">
        <v>4011</v>
      </c>
      <c r="G441" s="8">
        <v>5633</v>
      </c>
      <c r="H441" s="17">
        <v>240145</v>
      </c>
      <c r="I441" s="17">
        <v>0</v>
      </c>
      <c r="J441" s="17">
        <v>0</v>
      </c>
      <c r="K441" s="8">
        <v>283987</v>
      </c>
      <c r="L441" s="8"/>
      <c r="M441" s="17"/>
      <c r="N441" s="8">
        <f t="shared" si="54"/>
        <v>283987</v>
      </c>
      <c r="O441" s="8">
        <v>0</v>
      </c>
      <c r="P441" s="21">
        <f aca="true" t="shared" si="55" ref="P441:P453">N441</f>
        <v>283987</v>
      </c>
      <c r="Q441" s="21">
        <v>0</v>
      </c>
    </row>
    <row r="442" spans="1:17" s="183" customFormat="1" ht="16.5" customHeight="1">
      <c r="A442" s="20"/>
      <c r="B442" s="20" t="s">
        <v>269</v>
      </c>
      <c r="C442" s="301" t="s">
        <v>270</v>
      </c>
      <c r="D442" s="8">
        <v>22404</v>
      </c>
      <c r="E442" s="8">
        <v>26837</v>
      </c>
      <c r="F442" s="8">
        <v>0</v>
      </c>
      <c r="G442" s="8">
        <v>0</v>
      </c>
      <c r="H442" s="8">
        <v>17713</v>
      </c>
      <c r="I442" s="8">
        <v>0</v>
      </c>
      <c r="J442" s="8">
        <v>0</v>
      </c>
      <c r="K442" s="8">
        <v>21997</v>
      </c>
      <c r="L442" s="8"/>
      <c r="M442" s="8">
        <v>0</v>
      </c>
      <c r="N442" s="8">
        <f t="shared" si="54"/>
        <v>21997</v>
      </c>
      <c r="O442" s="8">
        <v>0</v>
      </c>
      <c r="P442" s="21">
        <f t="shared" si="55"/>
        <v>21997</v>
      </c>
      <c r="Q442" s="21">
        <v>0</v>
      </c>
    </row>
    <row r="443" spans="1:17" s="183" customFormat="1" ht="15" customHeight="1">
      <c r="A443" s="20"/>
      <c r="B443" s="32" t="s">
        <v>328</v>
      </c>
      <c r="C443" s="301" t="s">
        <v>342</v>
      </c>
      <c r="D443" s="8">
        <v>73812</v>
      </c>
      <c r="E443" s="8">
        <v>65930</v>
      </c>
      <c r="F443" s="8">
        <v>360</v>
      </c>
      <c r="G443" s="8">
        <v>1005</v>
      </c>
      <c r="H443" s="8">
        <v>45324</v>
      </c>
      <c r="I443" s="8">
        <v>0</v>
      </c>
      <c r="J443" s="8">
        <v>0</v>
      </c>
      <c r="K443" s="8">
        <v>52867</v>
      </c>
      <c r="L443" s="8"/>
      <c r="M443" s="8"/>
      <c r="N443" s="8">
        <f t="shared" si="54"/>
        <v>52867</v>
      </c>
      <c r="O443" s="8">
        <v>0</v>
      </c>
      <c r="P443" s="21">
        <f t="shared" si="55"/>
        <v>52867</v>
      </c>
      <c r="Q443" s="21">
        <v>0</v>
      </c>
    </row>
    <row r="444" spans="1:17" s="183" customFormat="1" ht="14.25" customHeight="1">
      <c r="A444" s="20"/>
      <c r="B444" s="32" t="s">
        <v>273</v>
      </c>
      <c r="C444" s="301" t="s">
        <v>274</v>
      </c>
      <c r="D444" s="8"/>
      <c r="E444" s="8">
        <v>9068</v>
      </c>
      <c r="F444" s="8">
        <v>49</v>
      </c>
      <c r="G444" s="8">
        <v>138</v>
      </c>
      <c r="H444" s="8">
        <v>6263</v>
      </c>
      <c r="I444" s="8">
        <v>0</v>
      </c>
      <c r="J444" s="8">
        <v>0</v>
      </c>
      <c r="K444" s="8">
        <v>7651</v>
      </c>
      <c r="L444" s="8"/>
      <c r="M444" s="8"/>
      <c r="N444" s="8">
        <f t="shared" si="54"/>
        <v>7651</v>
      </c>
      <c r="O444" s="8">
        <v>0</v>
      </c>
      <c r="P444" s="21">
        <f t="shared" si="55"/>
        <v>7651</v>
      </c>
      <c r="Q444" s="21">
        <v>0</v>
      </c>
    </row>
    <row r="445" spans="1:17" s="183" customFormat="1" ht="14.25" customHeight="1">
      <c r="A445" s="20"/>
      <c r="B445" s="32" t="s">
        <v>97</v>
      </c>
      <c r="C445" s="301" t="s">
        <v>111</v>
      </c>
      <c r="D445" s="8"/>
      <c r="E445" s="8"/>
      <c r="F445" s="8"/>
      <c r="G445" s="8"/>
      <c r="H445" s="8"/>
      <c r="I445" s="8"/>
      <c r="J445" s="8"/>
      <c r="K445" s="8">
        <v>1000</v>
      </c>
      <c r="L445" s="8"/>
      <c r="M445" s="8"/>
      <c r="N445" s="8">
        <f t="shared" si="54"/>
        <v>1000</v>
      </c>
      <c r="O445" s="8">
        <v>0</v>
      </c>
      <c r="P445" s="21">
        <f t="shared" si="55"/>
        <v>1000</v>
      </c>
      <c r="Q445" s="21">
        <v>0</v>
      </c>
    </row>
    <row r="446" spans="1:17" s="183" customFormat="1" ht="15.75" customHeight="1">
      <c r="A446" s="20"/>
      <c r="B446" s="32" t="s">
        <v>275</v>
      </c>
      <c r="C446" s="301" t="s">
        <v>443</v>
      </c>
      <c r="D446" s="8"/>
      <c r="E446" s="8">
        <v>17339</v>
      </c>
      <c r="F446" s="8">
        <v>5526</v>
      </c>
      <c r="G446" s="8">
        <v>0</v>
      </c>
      <c r="H446" s="8">
        <v>25571</v>
      </c>
      <c r="I446" s="8">
        <v>0</v>
      </c>
      <c r="J446" s="8">
        <v>0</v>
      </c>
      <c r="K446" s="8">
        <v>13010</v>
      </c>
      <c r="L446" s="8"/>
      <c r="M446" s="8"/>
      <c r="N446" s="8">
        <f t="shared" si="54"/>
        <v>13010</v>
      </c>
      <c r="O446" s="8">
        <v>0</v>
      </c>
      <c r="P446" s="21">
        <f t="shared" si="55"/>
        <v>13010</v>
      </c>
      <c r="Q446" s="21">
        <v>0</v>
      </c>
    </row>
    <row r="447" spans="1:17" s="183" customFormat="1" ht="15" customHeight="1">
      <c r="A447" s="20"/>
      <c r="B447" s="32" t="s">
        <v>436</v>
      </c>
      <c r="C447" s="301" t="s">
        <v>486</v>
      </c>
      <c r="D447" s="8"/>
      <c r="E447" s="8">
        <v>4149</v>
      </c>
      <c r="F447" s="8">
        <v>0</v>
      </c>
      <c r="G447" s="8">
        <v>0</v>
      </c>
      <c r="H447" s="8">
        <v>1500</v>
      </c>
      <c r="I447" s="8">
        <v>0</v>
      </c>
      <c r="J447" s="8">
        <v>0</v>
      </c>
      <c r="K447" s="8">
        <v>2000</v>
      </c>
      <c r="L447" s="8"/>
      <c r="M447" s="8"/>
      <c r="N447" s="8">
        <f t="shared" si="54"/>
        <v>2000</v>
      </c>
      <c r="O447" s="8">
        <v>0</v>
      </c>
      <c r="P447" s="21">
        <f t="shared" si="55"/>
        <v>2000</v>
      </c>
      <c r="Q447" s="21">
        <v>0</v>
      </c>
    </row>
    <row r="448" spans="1:17" s="183" customFormat="1" ht="15.75" customHeight="1">
      <c r="A448" s="20"/>
      <c r="B448" s="32" t="s">
        <v>277</v>
      </c>
      <c r="C448" s="301" t="s">
        <v>397</v>
      </c>
      <c r="D448" s="8"/>
      <c r="E448" s="8">
        <v>4365</v>
      </c>
      <c r="F448" s="8">
        <v>350</v>
      </c>
      <c r="G448" s="8">
        <v>0</v>
      </c>
      <c r="H448" s="8">
        <v>3966</v>
      </c>
      <c r="I448" s="8">
        <v>0</v>
      </c>
      <c r="J448" s="8">
        <v>0</v>
      </c>
      <c r="K448" s="8">
        <v>3900</v>
      </c>
      <c r="L448" s="8"/>
      <c r="M448" s="8"/>
      <c r="N448" s="8">
        <f t="shared" si="54"/>
        <v>3900</v>
      </c>
      <c r="O448" s="8">
        <v>0</v>
      </c>
      <c r="P448" s="21">
        <f t="shared" si="55"/>
        <v>3900</v>
      </c>
      <c r="Q448" s="21">
        <v>0</v>
      </c>
    </row>
    <row r="449" spans="1:17" s="183" customFormat="1" ht="15" customHeight="1">
      <c r="A449" s="20"/>
      <c r="B449" s="32" t="s">
        <v>281</v>
      </c>
      <c r="C449" s="301" t="s">
        <v>399</v>
      </c>
      <c r="D449" s="8"/>
      <c r="E449" s="8">
        <v>6136</v>
      </c>
      <c r="F449" s="8">
        <v>800</v>
      </c>
      <c r="G449" s="8">
        <v>0</v>
      </c>
      <c r="H449" s="8">
        <v>6503</v>
      </c>
      <c r="I449" s="8">
        <v>0</v>
      </c>
      <c r="J449" s="8">
        <v>0</v>
      </c>
      <c r="K449" s="8">
        <v>7482</v>
      </c>
      <c r="L449" s="8">
        <v>0</v>
      </c>
      <c r="M449" s="8"/>
      <c r="N449" s="8">
        <f t="shared" si="54"/>
        <v>7482</v>
      </c>
      <c r="O449" s="8">
        <v>0</v>
      </c>
      <c r="P449" s="21">
        <f t="shared" si="55"/>
        <v>7482</v>
      </c>
      <c r="Q449" s="21">
        <v>0</v>
      </c>
    </row>
    <row r="450" spans="1:17" s="183" customFormat="1" ht="15" customHeight="1">
      <c r="A450" s="20"/>
      <c r="B450" s="32" t="s">
        <v>112</v>
      </c>
      <c r="C450" s="301" t="s">
        <v>681</v>
      </c>
      <c r="D450" s="8"/>
      <c r="E450" s="8"/>
      <c r="F450" s="8"/>
      <c r="G450" s="8"/>
      <c r="H450" s="8"/>
      <c r="I450" s="8"/>
      <c r="J450" s="8"/>
      <c r="K450" s="8">
        <v>1930</v>
      </c>
      <c r="L450" s="8"/>
      <c r="M450" s="8"/>
      <c r="N450" s="8">
        <f t="shared" si="54"/>
        <v>1930</v>
      </c>
      <c r="O450" s="8">
        <v>0</v>
      </c>
      <c r="P450" s="21">
        <f t="shared" si="55"/>
        <v>1930</v>
      </c>
      <c r="Q450" s="21">
        <v>0</v>
      </c>
    </row>
    <row r="451" spans="1:17" s="183" customFormat="1" ht="16.5" customHeight="1">
      <c r="A451" s="20"/>
      <c r="B451" s="32" t="s">
        <v>283</v>
      </c>
      <c r="C451" s="301" t="s">
        <v>284</v>
      </c>
      <c r="D451" s="8"/>
      <c r="E451" s="8">
        <v>1250</v>
      </c>
      <c r="F451" s="8">
        <v>100</v>
      </c>
      <c r="G451" s="8">
        <v>0</v>
      </c>
      <c r="H451" s="8">
        <v>2500</v>
      </c>
      <c r="I451" s="8">
        <v>0</v>
      </c>
      <c r="J451" s="8">
        <v>0</v>
      </c>
      <c r="K451" s="8">
        <v>3000</v>
      </c>
      <c r="L451" s="8"/>
      <c r="M451" s="8"/>
      <c r="N451" s="8">
        <f t="shared" si="54"/>
        <v>3000</v>
      </c>
      <c r="O451" s="8">
        <v>0</v>
      </c>
      <c r="P451" s="21">
        <f t="shared" si="55"/>
        <v>3000</v>
      </c>
      <c r="Q451" s="21">
        <v>0</v>
      </c>
    </row>
    <row r="452" spans="1:17" s="183" customFormat="1" ht="15.75" customHeight="1">
      <c r="A452" s="20"/>
      <c r="B452" s="20" t="s">
        <v>287</v>
      </c>
      <c r="C452" s="301" t="s">
        <v>288</v>
      </c>
      <c r="D452" s="8"/>
      <c r="E452" s="8">
        <v>21517</v>
      </c>
      <c r="F452" s="8">
        <v>0</v>
      </c>
      <c r="G452" s="8">
        <v>0</v>
      </c>
      <c r="H452" s="8">
        <v>11800</v>
      </c>
      <c r="I452" s="8">
        <v>0</v>
      </c>
      <c r="J452" s="8">
        <v>0</v>
      </c>
      <c r="K452" s="8">
        <v>16560</v>
      </c>
      <c r="L452" s="8"/>
      <c r="M452" s="8"/>
      <c r="N452" s="8">
        <f t="shared" si="54"/>
        <v>16560</v>
      </c>
      <c r="O452" s="8">
        <v>0</v>
      </c>
      <c r="P452" s="21">
        <f t="shared" si="55"/>
        <v>16560</v>
      </c>
      <c r="Q452" s="21">
        <v>0</v>
      </c>
    </row>
    <row r="453" spans="1:17" s="183" customFormat="1" ht="15" customHeight="1">
      <c r="A453" s="20"/>
      <c r="B453" s="20" t="s">
        <v>303</v>
      </c>
      <c r="C453" s="301" t="s">
        <v>304</v>
      </c>
      <c r="D453" s="8"/>
      <c r="E453" s="8"/>
      <c r="F453" s="8"/>
      <c r="G453" s="8"/>
      <c r="H453" s="8">
        <v>1217</v>
      </c>
      <c r="I453" s="8">
        <v>0</v>
      </c>
      <c r="J453" s="8">
        <v>0</v>
      </c>
      <c r="K453" s="8">
        <v>616</v>
      </c>
      <c r="L453" s="8"/>
      <c r="M453" s="8"/>
      <c r="N453" s="8">
        <f t="shared" si="54"/>
        <v>616</v>
      </c>
      <c r="O453" s="8">
        <v>0</v>
      </c>
      <c r="P453" s="21">
        <f t="shared" si="55"/>
        <v>616</v>
      </c>
      <c r="Q453" s="21">
        <v>0</v>
      </c>
    </row>
    <row r="454" spans="1:17" s="183" customFormat="1" ht="21" customHeight="1">
      <c r="A454" s="198" t="s">
        <v>507</v>
      </c>
      <c r="B454" s="198"/>
      <c r="C454" s="197" t="s">
        <v>508</v>
      </c>
      <c r="D454" s="169" t="e">
        <f>D456+D457+D458+#REF!+#REF!</f>
        <v>#REF!</v>
      </c>
      <c r="E454" s="169" t="e">
        <f>E456+E457+E458+E459+E455+#REF!+#REF!+#REF!+#REF!+#REF!+#REF!+#REF!+#REF!</f>
        <v>#REF!</v>
      </c>
      <c r="F454" s="169" t="e">
        <f>F456+F457+F458+F459+F455+#REF!+#REF!+#REF!+#REF!+#REF!+#REF!+#REF!+#REF!</f>
        <v>#REF!</v>
      </c>
      <c r="G454" s="169" t="e">
        <f>G456+G457+G458+G459+G455+#REF!+#REF!+#REF!+#REF!+#REF!+#REF!+#REF!+#REF!</f>
        <v>#REF!</v>
      </c>
      <c r="H454" s="169" t="e">
        <f>H456+H457+H458+H459+H455+#REF!+H461+H462+H464+H465+H466+#REF!</f>
        <v>#REF!</v>
      </c>
      <c r="I454" s="169" t="e">
        <f>I456+I457+I458+I459+I455+#REF!+I461+I462+I464+I465+I466</f>
        <v>#REF!</v>
      </c>
      <c r="J454" s="169" t="e">
        <f>J456+J457+J458+J459+J455+#REF!+J461+J462+J464+J465+J466</f>
        <v>#REF!</v>
      </c>
      <c r="K454" s="169">
        <f>SUM(K455:K469)</f>
        <v>1610552</v>
      </c>
      <c r="L454" s="169">
        <f>SUM(L455:L469)</f>
        <v>41000</v>
      </c>
      <c r="M454" s="169">
        <f>SUM(M455:M469)</f>
        <v>140</v>
      </c>
      <c r="N454" s="169">
        <f t="shared" si="54"/>
        <v>1651412</v>
      </c>
      <c r="O454" s="169">
        <f>SUM(O455:O469)</f>
        <v>0</v>
      </c>
      <c r="P454" s="169">
        <f>SUM(P455:P469)</f>
        <v>1651412</v>
      </c>
      <c r="Q454" s="169">
        <f>SUM(Q455:Q469)</f>
        <v>0</v>
      </c>
    </row>
    <row r="455" spans="1:17" s="183" customFormat="1" ht="14.25" customHeight="1">
      <c r="A455" s="20"/>
      <c r="B455" s="32" t="s">
        <v>248</v>
      </c>
      <c r="C455" s="301" t="s">
        <v>446</v>
      </c>
      <c r="D455" s="8"/>
      <c r="E455" s="8">
        <v>1600</v>
      </c>
      <c r="F455" s="8">
        <v>0</v>
      </c>
      <c r="G455" s="8">
        <v>140</v>
      </c>
      <c r="H455" s="17">
        <v>2734</v>
      </c>
      <c r="I455" s="17">
        <v>0</v>
      </c>
      <c r="J455" s="17">
        <v>0</v>
      </c>
      <c r="K455" s="8">
        <v>2734</v>
      </c>
      <c r="L455" s="8">
        <v>0</v>
      </c>
      <c r="M455" s="17"/>
      <c r="N455" s="8">
        <f t="shared" si="54"/>
        <v>2734</v>
      </c>
      <c r="O455" s="8">
        <v>0</v>
      </c>
      <c r="P455" s="21">
        <f>N455</f>
        <v>2734</v>
      </c>
      <c r="Q455" s="21">
        <v>0</v>
      </c>
    </row>
    <row r="456" spans="1:17" s="183" customFormat="1" ht="14.25" customHeight="1">
      <c r="A456" s="20"/>
      <c r="B456" s="20" t="s">
        <v>265</v>
      </c>
      <c r="C456" s="301" t="s">
        <v>266</v>
      </c>
      <c r="D456" s="8">
        <v>760149</v>
      </c>
      <c r="E456" s="8">
        <v>761652</v>
      </c>
      <c r="F456" s="8">
        <v>1187</v>
      </c>
      <c r="G456" s="8">
        <v>0</v>
      </c>
      <c r="H456" s="8">
        <v>374354</v>
      </c>
      <c r="I456" s="8">
        <v>0</v>
      </c>
      <c r="J456" s="8">
        <v>0</v>
      </c>
      <c r="K456" s="8">
        <v>458936</v>
      </c>
      <c r="L456" s="8"/>
      <c r="M456" s="8">
        <v>0</v>
      </c>
      <c r="N456" s="8">
        <f t="shared" si="54"/>
        <v>458936</v>
      </c>
      <c r="O456" s="8">
        <v>0</v>
      </c>
      <c r="P456" s="21">
        <f aca="true" t="shared" si="56" ref="P456:P469">N456</f>
        <v>458936</v>
      </c>
      <c r="Q456" s="21">
        <v>0</v>
      </c>
    </row>
    <row r="457" spans="1:17" s="183" customFormat="1" ht="14.25" customHeight="1">
      <c r="A457" s="20"/>
      <c r="B457" s="20" t="s">
        <v>269</v>
      </c>
      <c r="C457" s="301" t="s">
        <v>270</v>
      </c>
      <c r="D457" s="8">
        <v>56427</v>
      </c>
      <c r="E457" s="8">
        <v>62354</v>
      </c>
      <c r="F457" s="8">
        <v>0</v>
      </c>
      <c r="G457" s="8">
        <v>0</v>
      </c>
      <c r="H457" s="17">
        <v>32155</v>
      </c>
      <c r="I457" s="17">
        <v>0</v>
      </c>
      <c r="J457" s="17">
        <v>0</v>
      </c>
      <c r="K457" s="8">
        <v>41880</v>
      </c>
      <c r="L457" s="8">
        <v>0</v>
      </c>
      <c r="M457" s="17"/>
      <c r="N457" s="8">
        <f t="shared" si="54"/>
        <v>41880</v>
      </c>
      <c r="O457" s="8">
        <v>0</v>
      </c>
      <c r="P457" s="21">
        <f t="shared" si="56"/>
        <v>41880</v>
      </c>
      <c r="Q457" s="21">
        <v>0</v>
      </c>
    </row>
    <row r="458" spans="1:17" s="183" customFormat="1" ht="14.25" customHeight="1">
      <c r="A458" s="20"/>
      <c r="B458" s="32" t="s">
        <v>328</v>
      </c>
      <c r="C458" s="301" t="s">
        <v>299</v>
      </c>
      <c r="D458" s="8">
        <v>162435</v>
      </c>
      <c r="E458" s="8">
        <v>143919</v>
      </c>
      <c r="F458" s="8">
        <v>212</v>
      </c>
      <c r="G458" s="8">
        <v>0</v>
      </c>
      <c r="H458" s="17">
        <v>69400</v>
      </c>
      <c r="I458" s="17">
        <v>0</v>
      </c>
      <c r="J458" s="17">
        <v>0</v>
      </c>
      <c r="K458" s="8">
        <v>84056</v>
      </c>
      <c r="L458" s="8"/>
      <c r="M458" s="17"/>
      <c r="N458" s="8">
        <f t="shared" si="54"/>
        <v>84056</v>
      </c>
      <c r="O458" s="8">
        <v>0</v>
      </c>
      <c r="P458" s="21">
        <f t="shared" si="56"/>
        <v>84056</v>
      </c>
      <c r="Q458" s="21">
        <v>0</v>
      </c>
    </row>
    <row r="459" spans="1:17" s="183" customFormat="1" ht="15.75" customHeight="1">
      <c r="A459" s="20"/>
      <c r="B459" s="32" t="s">
        <v>273</v>
      </c>
      <c r="C459" s="301" t="s">
        <v>274</v>
      </c>
      <c r="D459" s="8"/>
      <c r="E459" s="8">
        <v>19637</v>
      </c>
      <c r="F459" s="8">
        <v>29</v>
      </c>
      <c r="G459" s="8">
        <v>0</v>
      </c>
      <c r="H459" s="17">
        <v>9470</v>
      </c>
      <c r="I459" s="17">
        <v>0</v>
      </c>
      <c r="J459" s="17">
        <v>0</v>
      </c>
      <c r="K459" s="8">
        <v>11720</v>
      </c>
      <c r="L459" s="8"/>
      <c r="M459" s="17"/>
      <c r="N459" s="8">
        <f t="shared" si="54"/>
        <v>11720</v>
      </c>
      <c r="O459" s="8">
        <v>0</v>
      </c>
      <c r="P459" s="21">
        <f t="shared" si="56"/>
        <v>11720</v>
      </c>
      <c r="Q459" s="21">
        <v>0</v>
      </c>
    </row>
    <row r="460" spans="1:17" s="183" customFormat="1" ht="13.5" customHeight="1">
      <c r="A460" s="20"/>
      <c r="B460" s="32" t="s">
        <v>97</v>
      </c>
      <c r="C460" s="301" t="s">
        <v>111</v>
      </c>
      <c r="D460" s="8"/>
      <c r="E460" s="8"/>
      <c r="F460" s="8"/>
      <c r="G460" s="8"/>
      <c r="H460" s="17"/>
      <c r="I460" s="17"/>
      <c r="J460" s="17"/>
      <c r="K460" s="8">
        <v>5000</v>
      </c>
      <c r="L460" s="8"/>
      <c r="M460" s="17"/>
      <c r="N460" s="8">
        <f t="shared" si="54"/>
        <v>5000</v>
      </c>
      <c r="O460" s="8">
        <v>0</v>
      </c>
      <c r="P460" s="21">
        <f t="shared" si="56"/>
        <v>5000</v>
      </c>
      <c r="Q460" s="21">
        <v>0</v>
      </c>
    </row>
    <row r="461" spans="1:17" s="183" customFormat="1" ht="13.5" customHeight="1">
      <c r="A461" s="20"/>
      <c r="B461" s="32" t="s">
        <v>275</v>
      </c>
      <c r="C461" s="301" t="s">
        <v>302</v>
      </c>
      <c r="D461" s="8">
        <v>200</v>
      </c>
      <c r="E461" s="8">
        <v>0</v>
      </c>
      <c r="F461" s="8"/>
      <c r="G461" s="8"/>
      <c r="H461" s="17">
        <v>275062</v>
      </c>
      <c r="I461" s="17">
        <v>0</v>
      </c>
      <c r="J461" s="17">
        <v>0</v>
      </c>
      <c r="K461" s="8">
        <v>220818</v>
      </c>
      <c r="L461" s="8"/>
      <c r="M461" s="17">
        <v>0</v>
      </c>
      <c r="N461" s="8">
        <f t="shared" si="54"/>
        <v>220818</v>
      </c>
      <c r="O461" s="8">
        <v>0</v>
      </c>
      <c r="P461" s="21">
        <f t="shared" si="56"/>
        <v>220818</v>
      </c>
      <c r="Q461" s="21">
        <v>0</v>
      </c>
    </row>
    <row r="462" spans="1:17" s="183" customFormat="1" ht="13.5" customHeight="1">
      <c r="A462" s="20"/>
      <c r="B462" s="32" t="s">
        <v>277</v>
      </c>
      <c r="C462" s="301" t="s">
        <v>397</v>
      </c>
      <c r="D462" s="8"/>
      <c r="E462" s="8"/>
      <c r="F462" s="8"/>
      <c r="G462" s="8"/>
      <c r="H462" s="17">
        <v>85600</v>
      </c>
      <c r="I462" s="17">
        <v>0</v>
      </c>
      <c r="J462" s="17">
        <v>0</v>
      </c>
      <c r="K462" s="8">
        <v>74954</v>
      </c>
      <c r="L462" s="8"/>
      <c r="M462" s="17"/>
      <c r="N462" s="8">
        <f t="shared" si="54"/>
        <v>74954</v>
      </c>
      <c r="O462" s="8">
        <v>0</v>
      </c>
      <c r="P462" s="21">
        <f t="shared" si="56"/>
        <v>74954</v>
      </c>
      <c r="Q462" s="21">
        <v>0</v>
      </c>
    </row>
    <row r="463" spans="1:17" s="183" customFormat="1" ht="13.5" customHeight="1">
      <c r="A463" s="20"/>
      <c r="B463" s="32" t="s">
        <v>349</v>
      </c>
      <c r="C463" s="301" t="s">
        <v>350</v>
      </c>
      <c r="D463" s="8"/>
      <c r="E463" s="8"/>
      <c r="F463" s="8"/>
      <c r="G463" s="8"/>
      <c r="H463" s="17"/>
      <c r="I463" s="17"/>
      <c r="J463" s="17"/>
      <c r="K463" s="8">
        <v>660</v>
      </c>
      <c r="L463" s="8"/>
      <c r="M463" s="17"/>
      <c r="N463" s="8">
        <f t="shared" si="54"/>
        <v>660</v>
      </c>
      <c r="O463" s="8">
        <v>0</v>
      </c>
      <c r="P463" s="21">
        <f t="shared" si="56"/>
        <v>660</v>
      </c>
      <c r="Q463" s="21">
        <v>0</v>
      </c>
    </row>
    <row r="464" spans="1:17" s="183" customFormat="1" ht="13.5" customHeight="1">
      <c r="A464" s="20"/>
      <c r="B464" s="32" t="s">
        <v>281</v>
      </c>
      <c r="C464" s="301" t="s">
        <v>399</v>
      </c>
      <c r="D464" s="8"/>
      <c r="E464" s="8"/>
      <c r="F464" s="8"/>
      <c r="G464" s="8"/>
      <c r="H464" s="17">
        <v>39410</v>
      </c>
      <c r="I464" s="17">
        <v>0</v>
      </c>
      <c r="J464" s="17">
        <v>0</v>
      </c>
      <c r="K464" s="8">
        <v>34763</v>
      </c>
      <c r="L464" s="8"/>
      <c r="M464" s="17"/>
      <c r="N464" s="8">
        <f t="shared" si="54"/>
        <v>34763</v>
      </c>
      <c r="O464" s="8">
        <v>0</v>
      </c>
      <c r="P464" s="21">
        <f t="shared" si="56"/>
        <v>34763</v>
      </c>
      <c r="Q464" s="21">
        <v>0</v>
      </c>
    </row>
    <row r="465" spans="1:17" s="183" customFormat="1" ht="13.5" customHeight="1">
      <c r="A465" s="20"/>
      <c r="B465" s="32" t="s">
        <v>287</v>
      </c>
      <c r="C465" s="301" t="s">
        <v>288</v>
      </c>
      <c r="D465" s="8"/>
      <c r="E465" s="8"/>
      <c r="F465" s="8"/>
      <c r="G465" s="8"/>
      <c r="H465" s="17">
        <v>15678</v>
      </c>
      <c r="I465" s="17">
        <v>0</v>
      </c>
      <c r="J465" s="17">
        <v>0</v>
      </c>
      <c r="K465" s="8">
        <v>27159</v>
      </c>
      <c r="L465" s="8"/>
      <c r="M465" s="17"/>
      <c r="N465" s="8">
        <f t="shared" si="54"/>
        <v>27159</v>
      </c>
      <c r="O465" s="8">
        <v>0</v>
      </c>
      <c r="P465" s="21">
        <f t="shared" si="56"/>
        <v>27159</v>
      </c>
      <c r="Q465" s="21">
        <v>0</v>
      </c>
    </row>
    <row r="466" spans="1:17" s="183" customFormat="1" ht="15.75" customHeight="1">
      <c r="A466" s="20"/>
      <c r="B466" s="32" t="s">
        <v>303</v>
      </c>
      <c r="C466" s="301" t="s">
        <v>304</v>
      </c>
      <c r="D466" s="8"/>
      <c r="E466" s="8">
        <v>94026</v>
      </c>
      <c r="F466" s="8">
        <v>0</v>
      </c>
      <c r="G466" s="8">
        <v>0</v>
      </c>
      <c r="H466" s="17">
        <v>4200</v>
      </c>
      <c r="I466" s="17">
        <v>0</v>
      </c>
      <c r="J466" s="17">
        <v>0</v>
      </c>
      <c r="K466" s="8">
        <v>6200</v>
      </c>
      <c r="L466" s="8"/>
      <c r="M466" s="17">
        <v>140</v>
      </c>
      <c r="N466" s="8">
        <f t="shared" si="54"/>
        <v>6060</v>
      </c>
      <c r="O466" s="8">
        <v>0</v>
      </c>
      <c r="P466" s="21">
        <f t="shared" si="56"/>
        <v>6060</v>
      </c>
      <c r="Q466" s="21">
        <v>0</v>
      </c>
    </row>
    <row r="467" spans="1:17" s="183" customFormat="1" ht="15.75" customHeight="1">
      <c r="A467" s="20"/>
      <c r="B467" s="32" t="s">
        <v>305</v>
      </c>
      <c r="C467" s="301" t="s">
        <v>194</v>
      </c>
      <c r="D467" s="8"/>
      <c r="E467" s="8"/>
      <c r="F467" s="8"/>
      <c r="G467" s="8"/>
      <c r="H467" s="17"/>
      <c r="I467" s="17"/>
      <c r="J467" s="17"/>
      <c r="K467" s="8">
        <v>0</v>
      </c>
      <c r="L467" s="8">
        <v>0</v>
      </c>
      <c r="M467" s="17"/>
      <c r="N467" s="8">
        <f t="shared" si="54"/>
        <v>0</v>
      </c>
      <c r="O467" s="8"/>
      <c r="P467" s="21">
        <f t="shared" si="56"/>
        <v>0</v>
      </c>
      <c r="Q467" s="21"/>
    </row>
    <row r="468" spans="1:17" s="183" customFormat="1" ht="15.75" customHeight="1">
      <c r="A468" s="20"/>
      <c r="B468" s="32" t="s">
        <v>560</v>
      </c>
      <c r="C468" s="301" t="s">
        <v>194</v>
      </c>
      <c r="D468" s="8"/>
      <c r="E468" s="8"/>
      <c r="F468" s="8"/>
      <c r="G468" s="8"/>
      <c r="H468" s="17"/>
      <c r="I468" s="17"/>
      <c r="J468" s="17"/>
      <c r="K468" s="8">
        <v>450000</v>
      </c>
      <c r="L468" s="8"/>
      <c r="M468" s="17"/>
      <c r="N468" s="8">
        <f t="shared" si="54"/>
        <v>450000</v>
      </c>
      <c r="O468" s="8"/>
      <c r="P468" s="21">
        <f t="shared" si="56"/>
        <v>450000</v>
      </c>
      <c r="Q468" s="21"/>
    </row>
    <row r="469" spans="1:17" s="183" customFormat="1" ht="15" customHeight="1">
      <c r="A469" s="20"/>
      <c r="B469" s="32" t="s">
        <v>680</v>
      </c>
      <c r="C469" s="301" t="s">
        <v>194</v>
      </c>
      <c r="D469" s="8"/>
      <c r="E469" s="8"/>
      <c r="F469" s="8"/>
      <c r="G469" s="8"/>
      <c r="H469" s="17"/>
      <c r="I469" s="17"/>
      <c r="J469" s="17"/>
      <c r="K469" s="8">
        <v>191672</v>
      </c>
      <c r="L469" s="8">
        <v>41000</v>
      </c>
      <c r="M469" s="17"/>
      <c r="N469" s="8">
        <f t="shared" si="54"/>
        <v>232672</v>
      </c>
      <c r="O469" s="8"/>
      <c r="P469" s="21">
        <f t="shared" si="56"/>
        <v>232672</v>
      </c>
      <c r="Q469" s="21"/>
    </row>
    <row r="470" spans="1:17" s="183" customFormat="1" ht="21.75" customHeight="1">
      <c r="A470" s="198" t="s">
        <v>509</v>
      </c>
      <c r="B470" s="313"/>
      <c r="C470" s="197" t="s">
        <v>510</v>
      </c>
      <c r="D470" s="169"/>
      <c r="E470" s="169"/>
      <c r="F470" s="169"/>
      <c r="G470" s="169"/>
      <c r="H470" s="169">
        <f>H471</f>
        <v>5083</v>
      </c>
      <c r="I470" s="169">
        <f>I471</f>
        <v>0</v>
      </c>
      <c r="J470" s="169">
        <f>J471</f>
        <v>0</v>
      </c>
      <c r="K470" s="169">
        <f>SUM(K471:K479)</f>
        <v>414160</v>
      </c>
      <c r="L470" s="169">
        <f>SUM(L471:L479)</f>
        <v>253010</v>
      </c>
      <c r="M470" s="169">
        <f>SUM(M471:M479)</f>
        <v>4610</v>
      </c>
      <c r="N470" s="169">
        <f t="shared" si="54"/>
        <v>662560</v>
      </c>
      <c r="O470" s="169">
        <f>SUM(O471:O479)</f>
        <v>0</v>
      </c>
      <c r="P470" s="169">
        <f>SUM(P471:P479)</f>
        <v>662560</v>
      </c>
      <c r="Q470" s="169">
        <f>SUM(Q471:Q479)</f>
        <v>0</v>
      </c>
    </row>
    <row r="471" spans="1:17" s="183" customFormat="1" ht="15" customHeight="1">
      <c r="A471" s="20"/>
      <c r="B471" s="32" t="s">
        <v>225</v>
      </c>
      <c r="C471" s="301" t="s">
        <v>561</v>
      </c>
      <c r="D471" s="8"/>
      <c r="E471" s="8"/>
      <c r="F471" s="8"/>
      <c r="G471" s="8"/>
      <c r="H471" s="17">
        <v>5083</v>
      </c>
      <c r="I471" s="17">
        <v>0</v>
      </c>
      <c r="J471" s="17">
        <v>0</v>
      </c>
      <c r="K471" s="17">
        <v>6000</v>
      </c>
      <c r="L471" s="17">
        <v>248400</v>
      </c>
      <c r="M471" s="17"/>
      <c r="N471" s="8">
        <f t="shared" si="54"/>
        <v>254400</v>
      </c>
      <c r="O471" s="8">
        <v>0</v>
      </c>
      <c r="P471" s="21">
        <f>N471</f>
        <v>254400</v>
      </c>
      <c r="Q471" s="21">
        <v>0</v>
      </c>
    </row>
    <row r="472" spans="1:17" s="183" customFormat="1" ht="15" customHeight="1">
      <c r="A472" s="20"/>
      <c r="B472" s="32" t="s">
        <v>562</v>
      </c>
      <c r="C472" s="301" t="s">
        <v>561</v>
      </c>
      <c r="D472" s="8"/>
      <c r="E472" s="8"/>
      <c r="F472" s="8"/>
      <c r="G472" s="8"/>
      <c r="H472" s="17">
        <v>5083</v>
      </c>
      <c r="I472" s="17">
        <v>0</v>
      </c>
      <c r="J472" s="17">
        <v>0</v>
      </c>
      <c r="K472" s="17">
        <v>266559</v>
      </c>
      <c r="L472" s="17">
        <v>3047</v>
      </c>
      <c r="M472" s="17"/>
      <c r="N472" s="8">
        <f t="shared" si="54"/>
        <v>269606</v>
      </c>
      <c r="O472" s="8">
        <v>0</v>
      </c>
      <c r="P472" s="21">
        <f aca="true" t="shared" si="57" ref="P472:P479">N472</f>
        <v>269606</v>
      </c>
      <c r="Q472" s="21">
        <v>0</v>
      </c>
    </row>
    <row r="473" spans="1:17" s="183" customFormat="1" ht="15" customHeight="1">
      <c r="A473" s="20"/>
      <c r="B473" s="32" t="s">
        <v>563</v>
      </c>
      <c r="C473" s="301" t="s">
        <v>561</v>
      </c>
      <c r="D473" s="8"/>
      <c r="E473" s="8"/>
      <c r="F473" s="8"/>
      <c r="G473" s="8"/>
      <c r="H473" s="17">
        <v>5083</v>
      </c>
      <c r="I473" s="17">
        <v>0</v>
      </c>
      <c r="J473" s="17">
        <v>0</v>
      </c>
      <c r="K473" s="17">
        <v>125441</v>
      </c>
      <c r="L473" s="17">
        <v>1433</v>
      </c>
      <c r="M473" s="17"/>
      <c r="N473" s="8">
        <f t="shared" si="54"/>
        <v>126874</v>
      </c>
      <c r="O473" s="8">
        <v>0</v>
      </c>
      <c r="P473" s="21">
        <f t="shared" si="57"/>
        <v>126874</v>
      </c>
      <c r="Q473" s="21">
        <v>0</v>
      </c>
    </row>
    <row r="474" spans="1:17" s="183" customFormat="1" ht="15" customHeight="1">
      <c r="A474" s="20"/>
      <c r="B474" s="32" t="s">
        <v>547</v>
      </c>
      <c r="C474" s="301" t="s">
        <v>111</v>
      </c>
      <c r="D474" s="8"/>
      <c r="E474" s="8"/>
      <c r="F474" s="8"/>
      <c r="G474" s="8"/>
      <c r="H474" s="17">
        <v>5083</v>
      </c>
      <c r="I474" s="17">
        <v>0</v>
      </c>
      <c r="J474" s="17">
        <v>0</v>
      </c>
      <c r="K474" s="17">
        <v>2856</v>
      </c>
      <c r="L474" s="17"/>
      <c r="M474" s="17"/>
      <c r="N474" s="8">
        <f t="shared" si="54"/>
        <v>2856</v>
      </c>
      <c r="O474" s="8">
        <v>0</v>
      </c>
      <c r="P474" s="21">
        <f t="shared" si="57"/>
        <v>2856</v>
      </c>
      <c r="Q474" s="21">
        <v>0</v>
      </c>
    </row>
    <row r="475" spans="1:17" s="183" customFormat="1" ht="19.5" customHeight="1">
      <c r="A475" s="20"/>
      <c r="B475" s="32" t="s">
        <v>548</v>
      </c>
      <c r="C475" s="301" t="s">
        <v>111</v>
      </c>
      <c r="D475" s="8"/>
      <c r="E475" s="8"/>
      <c r="F475" s="8"/>
      <c r="G475" s="8"/>
      <c r="H475" s="17">
        <v>5083</v>
      </c>
      <c r="I475" s="17">
        <v>0</v>
      </c>
      <c r="J475" s="17">
        <v>0</v>
      </c>
      <c r="K475" s="17">
        <v>1344</v>
      </c>
      <c r="L475" s="17"/>
      <c r="M475" s="17"/>
      <c r="N475" s="8">
        <f t="shared" si="54"/>
        <v>1344</v>
      </c>
      <c r="O475" s="8">
        <v>0</v>
      </c>
      <c r="P475" s="21">
        <f t="shared" si="57"/>
        <v>1344</v>
      </c>
      <c r="Q475" s="21">
        <v>0</v>
      </c>
    </row>
    <row r="476" spans="1:17" s="183" customFormat="1" ht="20.25" customHeight="1">
      <c r="A476" s="20"/>
      <c r="B476" s="32" t="s">
        <v>549</v>
      </c>
      <c r="C476" s="301" t="s">
        <v>302</v>
      </c>
      <c r="D476" s="8"/>
      <c r="E476" s="8"/>
      <c r="F476" s="8"/>
      <c r="G476" s="8"/>
      <c r="H476" s="17"/>
      <c r="I476" s="17"/>
      <c r="J476" s="17"/>
      <c r="K476" s="17">
        <v>612</v>
      </c>
      <c r="L476" s="17">
        <v>88</v>
      </c>
      <c r="M476" s="17"/>
      <c r="N476" s="8">
        <f t="shared" si="54"/>
        <v>700</v>
      </c>
      <c r="O476" s="8"/>
      <c r="P476" s="21">
        <f t="shared" si="57"/>
        <v>700</v>
      </c>
      <c r="Q476" s="21"/>
    </row>
    <row r="477" spans="1:17" s="183" customFormat="1" ht="18" customHeight="1">
      <c r="A477" s="20"/>
      <c r="B477" s="32" t="s">
        <v>552</v>
      </c>
      <c r="C477" s="301" t="s">
        <v>302</v>
      </c>
      <c r="D477" s="8"/>
      <c r="E477" s="8"/>
      <c r="F477" s="8"/>
      <c r="G477" s="8"/>
      <c r="H477" s="17"/>
      <c r="I477" s="17"/>
      <c r="J477" s="17"/>
      <c r="K477" s="17">
        <v>288</v>
      </c>
      <c r="L477" s="17">
        <v>42</v>
      </c>
      <c r="M477" s="17"/>
      <c r="N477" s="8">
        <f t="shared" si="54"/>
        <v>330</v>
      </c>
      <c r="O477" s="8"/>
      <c r="P477" s="21">
        <f t="shared" si="57"/>
        <v>330</v>
      </c>
      <c r="Q477" s="21"/>
    </row>
    <row r="478" spans="1:17" s="183" customFormat="1" ht="20.25" customHeight="1">
      <c r="A478" s="20"/>
      <c r="B478" s="32" t="s">
        <v>550</v>
      </c>
      <c r="C478" s="301" t="s">
        <v>399</v>
      </c>
      <c r="D478" s="8"/>
      <c r="E478" s="8"/>
      <c r="F478" s="8"/>
      <c r="G478" s="8"/>
      <c r="H478" s="17">
        <v>5083</v>
      </c>
      <c r="I478" s="17">
        <v>0</v>
      </c>
      <c r="J478" s="17">
        <v>0</v>
      </c>
      <c r="K478" s="17">
        <v>7521</v>
      </c>
      <c r="L478" s="17">
        <v>0</v>
      </c>
      <c r="M478" s="17">
        <v>3135</v>
      </c>
      <c r="N478" s="8">
        <f t="shared" si="54"/>
        <v>4386</v>
      </c>
      <c r="O478" s="8">
        <v>0</v>
      </c>
      <c r="P478" s="21">
        <f t="shared" si="57"/>
        <v>4386</v>
      </c>
      <c r="Q478" s="21">
        <v>0</v>
      </c>
    </row>
    <row r="479" spans="1:17" s="183" customFormat="1" ht="18.75" customHeight="1">
      <c r="A479" s="20"/>
      <c r="B479" s="32" t="s">
        <v>551</v>
      </c>
      <c r="C479" s="301" t="s">
        <v>399</v>
      </c>
      <c r="D479" s="8"/>
      <c r="E479" s="8"/>
      <c r="F479" s="8"/>
      <c r="G479" s="8"/>
      <c r="H479" s="17">
        <v>5083</v>
      </c>
      <c r="I479" s="17">
        <v>0</v>
      </c>
      <c r="J479" s="17">
        <v>0</v>
      </c>
      <c r="K479" s="17">
        <v>3539</v>
      </c>
      <c r="L479" s="17">
        <v>0</v>
      </c>
      <c r="M479" s="17">
        <v>1475</v>
      </c>
      <c r="N479" s="8">
        <f t="shared" si="54"/>
        <v>2064</v>
      </c>
      <c r="O479" s="8">
        <v>0</v>
      </c>
      <c r="P479" s="21">
        <f t="shared" si="57"/>
        <v>2064</v>
      </c>
      <c r="Q479" s="21">
        <v>0</v>
      </c>
    </row>
    <row r="480" spans="1:17" s="183" customFormat="1" ht="25.5" customHeight="1">
      <c r="A480" s="198" t="s">
        <v>511</v>
      </c>
      <c r="B480" s="198"/>
      <c r="C480" s="197" t="s">
        <v>512</v>
      </c>
      <c r="D480" s="169">
        <f>D481+D483</f>
        <v>24996</v>
      </c>
      <c r="E480" s="169" t="e">
        <f>E481+E483+E484+#REF!+#REF!+#REF!</f>
        <v>#REF!</v>
      </c>
      <c r="F480" s="169" t="e">
        <f>F481+F483+F484+#REF!+#REF!+#REF!</f>
        <v>#REF!</v>
      </c>
      <c r="G480" s="169" t="e">
        <f>G481+G483+G484+#REF!+#REF!+#REF!</f>
        <v>#REF!</v>
      </c>
      <c r="H480" s="169" t="e">
        <f>H481+#REF!+#REF!+H483+H484</f>
        <v>#REF!</v>
      </c>
      <c r="I480" s="169" t="e">
        <f>I481+#REF!+#REF!+I483+I484</f>
        <v>#REF!</v>
      </c>
      <c r="J480" s="169" t="e">
        <f>J481+#REF!+#REF!+J483+J484</f>
        <v>#REF!</v>
      </c>
      <c r="K480" s="169">
        <f>K481+K482+K483+K484</f>
        <v>3900</v>
      </c>
      <c r="L480" s="169">
        <f>L481+L482+L483+L484</f>
        <v>0</v>
      </c>
      <c r="M480" s="169">
        <f>M481+M482+M483+M484</f>
        <v>0</v>
      </c>
      <c r="N480" s="307">
        <f t="shared" si="54"/>
        <v>3900</v>
      </c>
      <c r="O480" s="169">
        <f>O481+O482+O483+O484</f>
        <v>0</v>
      </c>
      <c r="P480" s="169">
        <f>P481+P482+P483+P484</f>
        <v>2400</v>
      </c>
      <c r="Q480" s="167">
        <f>Q481+Q482+Q483</f>
        <v>1500</v>
      </c>
    </row>
    <row r="481" spans="1:17" s="183" customFormat="1" ht="18" customHeight="1">
      <c r="A481" s="20"/>
      <c r="B481" s="20" t="s">
        <v>334</v>
      </c>
      <c r="C481" s="301" t="s">
        <v>699</v>
      </c>
      <c r="D481" s="8">
        <v>16664</v>
      </c>
      <c r="E481" s="8">
        <v>16664</v>
      </c>
      <c r="F481" s="8">
        <v>0</v>
      </c>
      <c r="G481" s="8">
        <v>0</v>
      </c>
      <c r="H481" s="17">
        <v>6000</v>
      </c>
      <c r="I481" s="17">
        <v>0</v>
      </c>
      <c r="J481" s="17">
        <v>0</v>
      </c>
      <c r="K481" s="8">
        <v>1500</v>
      </c>
      <c r="L481" s="8"/>
      <c r="M481" s="17"/>
      <c r="N481" s="8">
        <f t="shared" si="54"/>
        <v>1500</v>
      </c>
      <c r="O481" s="8">
        <v>0</v>
      </c>
      <c r="P481" s="21">
        <v>0</v>
      </c>
      <c r="Q481" s="21">
        <f>N481</f>
        <v>1500</v>
      </c>
    </row>
    <row r="482" spans="1:17" s="183" customFormat="1" ht="18.75" customHeight="1">
      <c r="A482" s="20"/>
      <c r="B482" s="20" t="s">
        <v>97</v>
      </c>
      <c r="C482" s="301" t="s">
        <v>111</v>
      </c>
      <c r="D482" s="8"/>
      <c r="E482" s="8"/>
      <c r="F482" s="8"/>
      <c r="G482" s="8"/>
      <c r="H482" s="17"/>
      <c r="I482" s="17"/>
      <c r="J482" s="17"/>
      <c r="K482" s="8">
        <v>1400</v>
      </c>
      <c r="L482" s="8"/>
      <c r="M482" s="17"/>
      <c r="N482" s="8">
        <f t="shared" si="54"/>
        <v>1400</v>
      </c>
      <c r="O482" s="8">
        <v>0</v>
      </c>
      <c r="P482" s="21">
        <f>N482</f>
        <v>1400</v>
      </c>
      <c r="Q482" s="21">
        <v>0</v>
      </c>
    </row>
    <row r="483" spans="1:17" s="183" customFormat="1" ht="19.5" customHeight="1">
      <c r="A483" s="20"/>
      <c r="B483" s="20" t="s">
        <v>275</v>
      </c>
      <c r="C483" s="301" t="s">
        <v>302</v>
      </c>
      <c r="D483" s="8">
        <v>8332</v>
      </c>
      <c r="E483" s="8">
        <v>3107</v>
      </c>
      <c r="F483" s="8">
        <v>0</v>
      </c>
      <c r="G483" s="8">
        <v>325</v>
      </c>
      <c r="H483" s="17">
        <v>832</v>
      </c>
      <c r="I483" s="17">
        <v>0</v>
      </c>
      <c r="J483" s="17">
        <v>0</v>
      </c>
      <c r="K483" s="8">
        <v>600</v>
      </c>
      <c r="L483" s="8"/>
      <c r="M483" s="17"/>
      <c r="N483" s="8">
        <f t="shared" si="54"/>
        <v>600</v>
      </c>
      <c r="O483" s="8">
        <v>0</v>
      </c>
      <c r="P483" s="21">
        <f>N483</f>
        <v>600</v>
      </c>
      <c r="Q483" s="21">
        <v>0</v>
      </c>
    </row>
    <row r="484" spans="1:17" s="183" customFormat="1" ht="18" customHeight="1">
      <c r="A484" s="20"/>
      <c r="B484" s="20" t="s">
        <v>281</v>
      </c>
      <c r="C484" s="301" t="s">
        <v>282</v>
      </c>
      <c r="D484" s="8"/>
      <c r="E484" s="8">
        <v>2500</v>
      </c>
      <c r="F484" s="8">
        <v>0</v>
      </c>
      <c r="G484" s="8">
        <v>0</v>
      </c>
      <c r="H484" s="17">
        <v>1800</v>
      </c>
      <c r="I484" s="17">
        <v>0</v>
      </c>
      <c r="J484" s="17">
        <v>0</v>
      </c>
      <c r="K484" s="8">
        <v>400</v>
      </c>
      <c r="L484" s="8"/>
      <c r="M484" s="17"/>
      <c r="N484" s="8">
        <f t="shared" si="54"/>
        <v>400</v>
      </c>
      <c r="O484" s="8">
        <v>0</v>
      </c>
      <c r="P484" s="21">
        <f>N484</f>
        <v>400</v>
      </c>
      <c r="Q484" s="21">
        <v>0</v>
      </c>
    </row>
    <row r="485" spans="1:17" s="183" customFormat="1" ht="19.5" customHeight="1">
      <c r="A485" s="198" t="s">
        <v>514</v>
      </c>
      <c r="B485" s="198"/>
      <c r="C485" s="197" t="s">
        <v>344</v>
      </c>
      <c r="D485" s="169"/>
      <c r="E485" s="169">
        <f aca="true" t="shared" si="58" ref="E485:Q485">E486</f>
        <v>0</v>
      </c>
      <c r="F485" s="169">
        <f t="shared" si="58"/>
        <v>27582</v>
      </c>
      <c r="G485" s="169">
        <f t="shared" si="58"/>
        <v>0</v>
      </c>
      <c r="H485" s="169">
        <f aca="true" t="shared" si="59" ref="H485:N485">H486</f>
        <v>12118</v>
      </c>
      <c r="I485" s="169">
        <f t="shared" si="59"/>
        <v>0</v>
      </c>
      <c r="J485" s="169">
        <f t="shared" si="59"/>
        <v>0</v>
      </c>
      <c r="K485" s="169">
        <f t="shared" si="59"/>
        <v>28348</v>
      </c>
      <c r="L485" s="169">
        <f t="shared" si="59"/>
        <v>0</v>
      </c>
      <c r="M485" s="169">
        <f t="shared" si="59"/>
        <v>0</v>
      </c>
      <c r="N485" s="169">
        <f t="shared" si="59"/>
        <v>28348</v>
      </c>
      <c r="O485" s="169">
        <f t="shared" si="58"/>
        <v>0</v>
      </c>
      <c r="P485" s="167">
        <f t="shared" si="58"/>
        <v>28348</v>
      </c>
      <c r="Q485" s="167">
        <f t="shared" si="58"/>
        <v>0</v>
      </c>
    </row>
    <row r="486" spans="1:17" s="183" customFormat="1" ht="26.25" customHeight="1">
      <c r="A486" s="20"/>
      <c r="B486" s="20" t="s">
        <v>287</v>
      </c>
      <c r="C486" s="301" t="s">
        <v>431</v>
      </c>
      <c r="D486" s="8"/>
      <c r="E486" s="8">
        <v>0</v>
      </c>
      <c r="F486" s="8">
        <v>27582</v>
      </c>
      <c r="G486" s="8">
        <v>0</v>
      </c>
      <c r="H486" s="21">
        <v>12118</v>
      </c>
      <c r="I486" s="21">
        <v>0</v>
      </c>
      <c r="J486" s="21">
        <v>0</v>
      </c>
      <c r="K486" s="8">
        <v>28348</v>
      </c>
      <c r="L486" s="8">
        <v>0</v>
      </c>
      <c r="M486" s="21"/>
      <c r="N486" s="8">
        <f t="shared" si="54"/>
        <v>28348</v>
      </c>
      <c r="O486" s="8">
        <v>0</v>
      </c>
      <c r="P486" s="21">
        <f>N486</f>
        <v>28348</v>
      </c>
      <c r="Q486" s="21">
        <v>0</v>
      </c>
    </row>
    <row r="487" spans="1:17" s="183" customFormat="1" ht="28.5" customHeight="1">
      <c r="A487" s="180" t="s">
        <v>515</v>
      </c>
      <c r="B487" s="180"/>
      <c r="C487" s="179" t="s">
        <v>516</v>
      </c>
      <c r="D487" s="174" t="e">
        <f aca="true" t="shared" si="60" ref="D487:J487">D488+D491</f>
        <v>#REF!</v>
      </c>
      <c r="E487" s="174">
        <f t="shared" si="60"/>
        <v>45000</v>
      </c>
      <c r="F487" s="174">
        <f t="shared" si="60"/>
        <v>0</v>
      </c>
      <c r="G487" s="174">
        <f t="shared" si="60"/>
        <v>0</v>
      </c>
      <c r="H487" s="174" t="e">
        <f t="shared" si="60"/>
        <v>#REF!</v>
      </c>
      <c r="I487" s="174" t="e">
        <f t="shared" si="60"/>
        <v>#REF!</v>
      </c>
      <c r="J487" s="174" t="e">
        <f t="shared" si="60"/>
        <v>#REF!</v>
      </c>
      <c r="K487" s="174">
        <f>K488+K491</f>
        <v>40100</v>
      </c>
      <c r="L487" s="174">
        <f>L488+L491</f>
        <v>300</v>
      </c>
      <c r="M487" s="174">
        <f>M488+M491</f>
        <v>300</v>
      </c>
      <c r="N487" s="174">
        <f t="shared" si="54"/>
        <v>40100</v>
      </c>
      <c r="O487" s="174">
        <f>O488+O491</f>
        <v>0</v>
      </c>
      <c r="P487" s="174">
        <f>P488+P491</f>
        <v>7100</v>
      </c>
      <c r="Q487" s="174">
        <f>Q488+Q491</f>
        <v>33000</v>
      </c>
    </row>
    <row r="488" spans="1:17" s="183" customFormat="1" ht="18" customHeight="1">
      <c r="A488" s="198" t="s">
        <v>517</v>
      </c>
      <c r="B488" s="198"/>
      <c r="C488" s="197" t="s">
        <v>518</v>
      </c>
      <c r="D488" s="169">
        <f aca="true" t="shared" si="61" ref="D488:J488">D489</f>
        <v>0</v>
      </c>
      <c r="E488" s="169">
        <f t="shared" si="61"/>
        <v>30000</v>
      </c>
      <c r="F488" s="169">
        <f t="shared" si="61"/>
        <v>0</v>
      </c>
      <c r="G488" s="169">
        <f t="shared" si="61"/>
        <v>0</v>
      </c>
      <c r="H488" s="169">
        <f t="shared" si="61"/>
        <v>30000</v>
      </c>
      <c r="I488" s="169">
        <f t="shared" si="61"/>
        <v>0</v>
      </c>
      <c r="J488" s="169">
        <f t="shared" si="61"/>
        <v>0</v>
      </c>
      <c r="K488" s="169">
        <f>K489+K490</f>
        <v>33000</v>
      </c>
      <c r="L488" s="169">
        <f>L489+L490</f>
        <v>0</v>
      </c>
      <c r="M488" s="169">
        <f>M489+M490</f>
        <v>0</v>
      </c>
      <c r="N488" s="169">
        <f t="shared" si="54"/>
        <v>33000</v>
      </c>
      <c r="O488" s="169">
        <f>O489</f>
        <v>0</v>
      </c>
      <c r="P488" s="167">
        <f>P489+P490</f>
        <v>0</v>
      </c>
      <c r="Q488" s="167">
        <f>Q489</f>
        <v>33000</v>
      </c>
    </row>
    <row r="489" spans="1:17" s="183" customFormat="1" ht="22.5" customHeight="1">
      <c r="A489" s="20"/>
      <c r="B489" s="20" t="s">
        <v>334</v>
      </c>
      <c r="C489" s="301" t="s">
        <v>519</v>
      </c>
      <c r="D489" s="8">
        <v>0</v>
      </c>
      <c r="E489" s="8">
        <v>30000</v>
      </c>
      <c r="F489" s="8">
        <v>0</v>
      </c>
      <c r="G489" s="8">
        <v>0</v>
      </c>
      <c r="H489" s="8">
        <v>30000</v>
      </c>
      <c r="I489" s="8">
        <v>0</v>
      </c>
      <c r="J489" s="8">
        <v>0</v>
      </c>
      <c r="K489" s="8">
        <v>33000</v>
      </c>
      <c r="L489" s="8"/>
      <c r="M489" s="8"/>
      <c r="N489" s="8">
        <f t="shared" si="54"/>
        <v>33000</v>
      </c>
      <c r="O489" s="8">
        <v>0</v>
      </c>
      <c r="P489" s="21">
        <v>0</v>
      </c>
      <c r="Q489" s="21">
        <f>N489</f>
        <v>33000</v>
      </c>
    </row>
    <row r="490" spans="1:17" s="183" customFormat="1" ht="27.75" customHeight="1">
      <c r="A490" s="20"/>
      <c r="B490" s="20" t="s">
        <v>305</v>
      </c>
      <c r="C490" s="301" t="s">
        <v>38</v>
      </c>
      <c r="D490" s="8"/>
      <c r="E490" s="8"/>
      <c r="F490" s="8"/>
      <c r="G490" s="8"/>
      <c r="H490" s="8"/>
      <c r="I490" s="8"/>
      <c r="J490" s="8"/>
      <c r="K490" s="8">
        <v>0</v>
      </c>
      <c r="L490" s="8"/>
      <c r="M490" s="8">
        <v>0</v>
      </c>
      <c r="N490" s="8">
        <f t="shared" si="54"/>
        <v>0</v>
      </c>
      <c r="O490" s="8">
        <v>0</v>
      </c>
      <c r="P490" s="21">
        <f>N490</f>
        <v>0</v>
      </c>
      <c r="Q490" s="21">
        <v>0</v>
      </c>
    </row>
    <row r="491" spans="1:17" s="183" customFormat="1" ht="15" customHeight="1">
      <c r="A491" s="198" t="s">
        <v>520</v>
      </c>
      <c r="B491" s="312"/>
      <c r="C491" s="197" t="s">
        <v>344</v>
      </c>
      <c r="D491" s="169" t="e">
        <f>#REF!</f>
        <v>#REF!</v>
      </c>
      <c r="E491" s="169">
        <f>E494+E495+E492</f>
        <v>15000</v>
      </c>
      <c r="F491" s="169">
        <f>F494+F495+F492</f>
        <v>0</v>
      </c>
      <c r="G491" s="169">
        <f>G494+G495+G492</f>
        <v>0</v>
      </c>
      <c r="H491" s="169" t="e">
        <f>H494+H495+#REF!</f>
        <v>#REF!</v>
      </c>
      <c r="I491" s="169" t="e">
        <f>I494+I495+#REF!</f>
        <v>#REF!</v>
      </c>
      <c r="J491" s="169" t="e">
        <f>J494+J495+#REF!</f>
        <v>#REF!</v>
      </c>
      <c r="K491" s="169">
        <f>SUM(K494:K495)</f>
        <v>7100</v>
      </c>
      <c r="L491" s="169">
        <f>SUM(L494:L495)</f>
        <v>300</v>
      </c>
      <c r="M491" s="169">
        <f>SUM(M494:M495)</f>
        <v>300</v>
      </c>
      <c r="N491" s="169">
        <f t="shared" si="54"/>
        <v>7100</v>
      </c>
      <c r="O491" s="169">
        <f>SUM(O494:O495)</f>
        <v>0</v>
      </c>
      <c r="P491" s="169">
        <f>SUM(P494:P495)</f>
        <v>7100</v>
      </c>
      <c r="Q491" s="169">
        <f>SUM(Q494:Q495)</f>
        <v>0</v>
      </c>
    </row>
    <row r="492" spans="1:17" s="183" customFormat="1" ht="14.25" customHeight="1" hidden="1">
      <c r="A492" s="23"/>
      <c r="B492" s="20"/>
      <c r="C492" s="26" t="s">
        <v>312</v>
      </c>
      <c r="D492" s="17"/>
      <c r="E492" s="17">
        <v>240</v>
      </c>
      <c r="F492" s="17">
        <v>0</v>
      </c>
      <c r="G492" s="17">
        <v>0</v>
      </c>
      <c r="H492" s="8"/>
      <c r="I492" s="8"/>
      <c r="J492" s="8"/>
      <c r="K492" s="8"/>
      <c r="L492" s="8"/>
      <c r="M492" s="8"/>
      <c r="N492" s="8">
        <f aca="true" t="shared" si="62" ref="N492:N510">K492+L492-M492</f>
        <v>0</v>
      </c>
      <c r="O492" s="17">
        <v>0</v>
      </c>
      <c r="P492" s="18">
        <f>H492</f>
        <v>0</v>
      </c>
      <c r="Q492" s="18">
        <v>0</v>
      </c>
    </row>
    <row r="493" spans="1:17" s="183" customFormat="1" ht="28.5" customHeight="1" hidden="1">
      <c r="A493" s="23"/>
      <c r="B493" s="20" t="s">
        <v>334</v>
      </c>
      <c r="C493" s="9" t="s">
        <v>513</v>
      </c>
      <c r="D493" s="17"/>
      <c r="E493" s="17"/>
      <c r="F493" s="17"/>
      <c r="G493" s="17"/>
      <c r="H493" s="8">
        <v>0</v>
      </c>
      <c r="I493" s="8">
        <v>0</v>
      </c>
      <c r="J493" s="8">
        <v>0</v>
      </c>
      <c r="K493" s="8"/>
      <c r="L493" s="8"/>
      <c r="M493" s="8"/>
      <c r="N493" s="8">
        <f t="shared" si="62"/>
        <v>0</v>
      </c>
      <c r="O493" s="17">
        <v>0</v>
      </c>
      <c r="P493" s="18">
        <v>0</v>
      </c>
      <c r="Q493" s="18">
        <v>0</v>
      </c>
    </row>
    <row r="494" spans="1:17" s="183" customFormat="1" ht="23.25" customHeight="1">
      <c r="A494" s="23"/>
      <c r="B494" s="20" t="s">
        <v>275</v>
      </c>
      <c r="C494" s="26" t="s">
        <v>302</v>
      </c>
      <c r="D494" s="17"/>
      <c r="E494" s="17">
        <v>10760</v>
      </c>
      <c r="F494" s="17">
        <v>0</v>
      </c>
      <c r="G494" s="17">
        <v>0</v>
      </c>
      <c r="H494" s="8">
        <v>3570</v>
      </c>
      <c r="I494" s="8">
        <v>0</v>
      </c>
      <c r="J494" s="8">
        <v>0</v>
      </c>
      <c r="K494" s="8">
        <v>5300</v>
      </c>
      <c r="L494" s="8">
        <v>300</v>
      </c>
      <c r="M494" s="8"/>
      <c r="N494" s="8">
        <f t="shared" si="62"/>
        <v>5600</v>
      </c>
      <c r="O494" s="17">
        <v>0</v>
      </c>
      <c r="P494" s="18">
        <f>N494</f>
        <v>5600</v>
      </c>
      <c r="Q494" s="18">
        <v>0</v>
      </c>
    </row>
    <row r="495" spans="1:17" s="183" customFormat="1" ht="21.75" customHeight="1">
      <c r="A495" s="23"/>
      <c r="B495" s="20" t="s">
        <v>281</v>
      </c>
      <c r="C495" s="26" t="s">
        <v>282</v>
      </c>
      <c r="D495" s="17"/>
      <c r="E495" s="17">
        <v>4000</v>
      </c>
      <c r="F495" s="17">
        <v>0</v>
      </c>
      <c r="G495" s="17">
        <v>0</v>
      </c>
      <c r="H495" s="8">
        <v>1480</v>
      </c>
      <c r="I495" s="8">
        <v>0</v>
      </c>
      <c r="J495" s="8">
        <v>0</v>
      </c>
      <c r="K495" s="8">
        <v>1800</v>
      </c>
      <c r="L495" s="8"/>
      <c r="M495" s="8">
        <v>300</v>
      </c>
      <c r="N495" s="8">
        <f t="shared" si="62"/>
        <v>1500</v>
      </c>
      <c r="O495" s="17">
        <v>0</v>
      </c>
      <c r="P495" s="18">
        <f>N495</f>
        <v>1500</v>
      </c>
      <c r="Q495" s="18">
        <v>0</v>
      </c>
    </row>
    <row r="496" spans="1:17" s="183" customFormat="1" ht="26.25" customHeight="1">
      <c r="A496" s="173" t="s">
        <v>521</v>
      </c>
      <c r="B496" s="173"/>
      <c r="C496" s="179" t="s">
        <v>522</v>
      </c>
      <c r="D496" s="174" t="e">
        <f>D497+D499</f>
        <v>#REF!</v>
      </c>
      <c r="E496" s="174" t="e">
        <f>E497+E499</f>
        <v>#REF!</v>
      </c>
      <c r="F496" s="174" t="e">
        <f aca="true" t="shared" si="63" ref="F496:K496">F499</f>
        <v>#REF!</v>
      </c>
      <c r="G496" s="174" t="e">
        <f t="shared" si="63"/>
        <v>#REF!</v>
      </c>
      <c r="H496" s="174">
        <f t="shared" si="63"/>
        <v>16000</v>
      </c>
      <c r="I496" s="174">
        <f t="shared" si="63"/>
        <v>0</v>
      </c>
      <c r="J496" s="174">
        <f t="shared" si="63"/>
        <v>0</v>
      </c>
      <c r="K496" s="174">
        <f t="shared" si="63"/>
        <v>16000</v>
      </c>
      <c r="L496" s="174"/>
      <c r="M496" s="174"/>
      <c r="N496" s="174">
        <f t="shared" si="62"/>
        <v>16000</v>
      </c>
      <c r="O496" s="174">
        <f>O499</f>
        <v>0</v>
      </c>
      <c r="P496" s="176">
        <f>P499</f>
        <v>16000</v>
      </c>
      <c r="Q496" s="176">
        <f>Q499</f>
        <v>0</v>
      </c>
    </row>
    <row r="497" spans="1:17" s="183" customFormat="1" ht="18" customHeight="1" hidden="1">
      <c r="A497" s="14" t="s">
        <v>523</v>
      </c>
      <c r="B497" s="25"/>
      <c r="C497" s="4" t="s">
        <v>524</v>
      </c>
      <c r="D497" s="7">
        <f>D498</f>
        <v>0</v>
      </c>
      <c r="E497" s="7">
        <f>E498</f>
        <v>0</v>
      </c>
      <c r="F497" s="7"/>
      <c r="G497" s="7"/>
      <c r="H497" s="7"/>
      <c r="I497" s="7"/>
      <c r="J497" s="7"/>
      <c r="K497" s="7"/>
      <c r="L497" s="7"/>
      <c r="M497" s="7"/>
      <c r="N497" s="8">
        <f t="shared" si="62"/>
        <v>0</v>
      </c>
      <c r="O497" s="7"/>
      <c r="P497" s="16"/>
      <c r="Q497" s="16"/>
    </row>
    <row r="498" spans="1:17" s="183" customFormat="1" ht="14.25" customHeight="1" hidden="1">
      <c r="A498" s="20"/>
      <c r="B498" s="25" t="s">
        <v>305</v>
      </c>
      <c r="C498" s="9" t="s">
        <v>525</v>
      </c>
      <c r="D498" s="8">
        <v>0</v>
      </c>
      <c r="E498" s="8">
        <v>0</v>
      </c>
      <c r="F498" s="8"/>
      <c r="G498" s="8"/>
      <c r="H498" s="8"/>
      <c r="I498" s="8"/>
      <c r="J498" s="8"/>
      <c r="K498" s="8"/>
      <c r="L498" s="8"/>
      <c r="M498" s="8"/>
      <c r="N498" s="8">
        <f t="shared" si="62"/>
        <v>0</v>
      </c>
      <c r="O498" s="8"/>
      <c r="P498" s="21"/>
      <c r="Q498" s="21"/>
    </row>
    <row r="499" spans="1:17" s="183" customFormat="1" ht="25.5" customHeight="1">
      <c r="A499" s="198" t="s">
        <v>526</v>
      </c>
      <c r="B499" s="196"/>
      <c r="C499" s="197" t="s">
        <v>344</v>
      </c>
      <c r="D499" s="169" t="e">
        <f>#REF!</f>
        <v>#REF!</v>
      </c>
      <c r="E499" s="169" t="e">
        <f>#REF!+E500</f>
        <v>#REF!</v>
      </c>
      <c r="F499" s="169" t="e">
        <f>#REF!+F500</f>
        <v>#REF!</v>
      </c>
      <c r="G499" s="169" t="e">
        <f>#REF!+G500</f>
        <v>#REF!</v>
      </c>
      <c r="H499" s="169">
        <f aca="true" t="shared" si="64" ref="H499:Q499">H500</f>
        <v>16000</v>
      </c>
      <c r="I499" s="169">
        <f t="shared" si="64"/>
        <v>0</v>
      </c>
      <c r="J499" s="169">
        <f t="shared" si="64"/>
        <v>0</v>
      </c>
      <c r="K499" s="169">
        <f>K500</f>
        <v>16000</v>
      </c>
      <c r="L499" s="169"/>
      <c r="M499" s="169"/>
      <c r="N499" s="169">
        <f t="shared" si="62"/>
        <v>16000</v>
      </c>
      <c r="O499" s="169">
        <f t="shared" si="64"/>
        <v>0</v>
      </c>
      <c r="P499" s="169">
        <f t="shared" si="64"/>
        <v>16000</v>
      </c>
      <c r="Q499" s="169">
        <f t="shared" si="64"/>
        <v>0</v>
      </c>
    </row>
    <row r="500" spans="1:17" s="183" customFormat="1" ht="45" customHeight="1">
      <c r="A500" s="23"/>
      <c r="B500" s="27" t="s">
        <v>499</v>
      </c>
      <c r="C500" s="301" t="s">
        <v>432</v>
      </c>
      <c r="D500" s="17"/>
      <c r="E500" s="17">
        <v>14200</v>
      </c>
      <c r="F500" s="17">
        <v>0</v>
      </c>
      <c r="G500" s="17">
        <v>0</v>
      </c>
      <c r="H500" s="17">
        <v>16000</v>
      </c>
      <c r="I500" s="17">
        <v>0</v>
      </c>
      <c r="J500" s="17">
        <v>0</v>
      </c>
      <c r="K500" s="8">
        <v>16000</v>
      </c>
      <c r="L500" s="8"/>
      <c r="M500" s="17"/>
      <c r="N500" s="8">
        <f t="shared" si="62"/>
        <v>16000</v>
      </c>
      <c r="O500" s="17">
        <v>0</v>
      </c>
      <c r="P500" s="18">
        <f>N500</f>
        <v>16000</v>
      </c>
      <c r="Q500" s="18">
        <v>0</v>
      </c>
    </row>
    <row r="501" spans="1:17" s="183" customFormat="1" ht="24" customHeight="1">
      <c r="A501" s="184"/>
      <c r="B501" s="185"/>
      <c r="C501" s="186" t="s">
        <v>527</v>
      </c>
      <c r="D501" s="187" t="e">
        <f>D9+D31+D37+D58+D70+D87+D146+D172+D178+D182+D297+D311+D422+D487+D496</f>
        <v>#REF!</v>
      </c>
      <c r="E501" s="187" t="e">
        <f>E9+E31+E37+E58+E70+E87+E146+E172+E178+E182+E297+E311+E422+E487+E496</f>
        <v>#REF!</v>
      </c>
      <c r="F501" s="187" t="e">
        <f>F496+F487+F422+F311+F297+F182+F178+F172+F146+F87+F70+F58+F37+F31+F9</f>
        <v>#REF!</v>
      </c>
      <c r="G501" s="187" t="e">
        <f>G496+G487+G422+G311+G297+G182+G178+G172+G146+G87+G70+G58+G37+G31+G9</f>
        <v>#REF!</v>
      </c>
      <c r="H501" s="187" t="e">
        <f>H496+H487+H422+H311+H297+H182+H178+H172+H146+#REF!+H87+H70+H58+H37+H31+H9+#REF!</f>
        <v>#REF!</v>
      </c>
      <c r="I501" s="187" t="e">
        <f>I496+I487+I422+I311+I297+I182+I178+I172+I146+#REF!+I87+I70+I58+I37+I31+I9+#REF!</f>
        <v>#REF!</v>
      </c>
      <c r="J501" s="187" t="e">
        <f>J496+J487+J422+J311+J297+J182+J178+J172+J146+#REF!+J87+J70+J58+J37+J31+J9+#REF!</f>
        <v>#REF!</v>
      </c>
      <c r="K501" s="187">
        <f>K9+K31+K37+K58+K70+K87+K146+K172+K178+K182+K287+K297+K311+K383+K422+K487+K496</f>
        <v>33004516</v>
      </c>
      <c r="L501" s="187">
        <f>L9+L31+L37+L58+L70+L87+L146+L172+L178+L182+L287+L297+L311+L383+L422+L487+L496</f>
        <v>1639069</v>
      </c>
      <c r="M501" s="187">
        <f>M9+M31+M37+M58+M70+M87+M146+M172+M178+M182+M287+M297+M311+M383+M422+M487+M496</f>
        <v>344540</v>
      </c>
      <c r="N501" s="187">
        <f t="shared" si="62"/>
        <v>34299045</v>
      </c>
      <c r="O501" s="187">
        <f>O9+O31+O37+O58+O70+O87+O146+O172+O178+O182+O287+O297+O311+O383+O422+O487+O496</f>
        <v>3206295</v>
      </c>
      <c r="P501" s="187">
        <f>P9+P31+P37+P58+P70+P87+P146+P172+P178+P182+P287+P297+P311+P383+P422+P487+P496</f>
        <v>30641731</v>
      </c>
      <c r="Q501" s="187">
        <f>Q9+Q31+Q37+Q58+Q70+Q87+Q146+Q172+Q178+Q182+Q287+Q297+Q311+Q383+Q422+Q487+Q496</f>
        <v>451019</v>
      </c>
    </row>
    <row r="502" spans="1:17" s="183" customFormat="1" ht="17.25" customHeight="1">
      <c r="A502" s="8"/>
      <c r="B502" s="541" t="s">
        <v>528</v>
      </c>
      <c r="C502" s="541"/>
      <c r="D502" s="3" t="s">
        <v>529</v>
      </c>
      <c r="E502" s="3" t="s">
        <v>529</v>
      </c>
      <c r="F502" s="3" t="s">
        <v>529</v>
      </c>
      <c r="G502" s="3" t="s">
        <v>529</v>
      </c>
      <c r="H502" s="3"/>
      <c r="I502" s="3"/>
      <c r="J502" s="3"/>
      <c r="K502" s="3"/>
      <c r="L502" s="3"/>
      <c r="M502" s="3"/>
      <c r="N502" s="8"/>
      <c r="O502" s="3"/>
      <c r="P502" s="3"/>
      <c r="Q502" s="3"/>
    </row>
    <row r="503" spans="1:17" s="183" customFormat="1" ht="20.25" customHeight="1">
      <c r="A503" s="34"/>
      <c r="B503" s="546" t="s">
        <v>530</v>
      </c>
      <c r="C503" s="547"/>
      <c r="D503" s="547"/>
      <c r="E503" s="314" t="e">
        <f aca="true" t="shared" si="65" ref="E503:J503">E501-E508</f>
        <v>#REF!</v>
      </c>
      <c r="F503" s="314" t="e">
        <f t="shared" si="65"/>
        <v>#REF!</v>
      </c>
      <c r="G503" s="314" t="e">
        <f t="shared" si="65"/>
        <v>#REF!</v>
      </c>
      <c r="H503" s="314" t="e">
        <f t="shared" si="65"/>
        <v>#REF!</v>
      </c>
      <c r="I503" s="314" t="e">
        <f t="shared" si="65"/>
        <v>#REF!</v>
      </c>
      <c r="J503" s="314" t="e">
        <f t="shared" si="65"/>
        <v>#REF!</v>
      </c>
      <c r="K503" s="314">
        <f>K501-K508</f>
        <v>25778373</v>
      </c>
      <c r="L503" s="314">
        <f>L501-L508</f>
        <v>754519</v>
      </c>
      <c r="M503" s="314">
        <f>M501-M508</f>
        <v>144540</v>
      </c>
      <c r="N503" s="315">
        <f t="shared" si="62"/>
        <v>26388352</v>
      </c>
      <c r="O503" s="314">
        <f>O501-O508</f>
        <v>3206295</v>
      </c>
      <c r="P503" s="314">
        <f>P501-P508</f>
        <v>22773038</v>
      </c>
      <c r="Q503" s="314">
        <f>Q501-Q508</f>
        <v>409019</v>
      </c>
    </row>
    <row r="504" spans="1:17" s="183" customFormat="1" ht="20.25" customHeight="1">
      <c r="A504" s="34"/>
      <c r="B504" s="553" t="s">
        <v>531</v>
      </c>
      <c r="C504" s="554"/>
      <c r="D504" s="554"/>
      <c r="E504" s="8" t="e">
        <f>E13+E15+E40+E41+E76+E78+E89+E90+E109+E110+#REF!+#REF!+#REF!+#REF!+#REF!+#REF!+E185+E186+E200+E201+E212+E213+#REF!+#REF!+E241+E242+#REF!+#REF!+E265+E266+#REF!+#REF!+E315+E316+E331+E332+E352+E353+E385+E393+E394+E425+E426+E441+E442+E456+E457+E14+E149+E150+E151+E152+E153+#REF!+#REF!+#REF!</f>
        <v>#REF!</v>
      </c>
      <c r="F504" s="8" t="e">
        <f>F13+F15+F40+F41+F76+F78+F89+F90+F109+F110+#REF!+#REF!+#REF!+#REF!+#REF!+#REF!+F185+F186+F200+F201+F212+F213+#REF!+#REF!+F241+F242+#REF!+#REF!+F265+F266+#REF!+#REF!+F315+F316+F331+F332+F352+F353+F385+F393+F394+F425+F426+F441+F442+F456+F457+F14+F149+F150+F151+F152+F153+#REF!+#REF!+#REF!</f>
        <v>#REF!</v>
      </c>
      <c r="G504" s="8" t="e">
        <f>G13+G15+G40+G41+G76+G78+G89+G90+G109+G110+#REF!+#REF!+#REF!+#REF!+#REF!+#REF!+G185+G186+G200+G201+G212+G213+#REF!+#REF!+G241+G242+#REF!+#REF!+G265+G266+#REF!+#REF!+G315+G316+G331+G332+G352+G353+G385+G393+G394+G425+G426+G441+G442+G456+G457+G14+G149+G150+G151+G152+G153+#REF!+#REF!+#REF!</f>
        <v>#REF!</v>
      </c>
      <c r="H504" s="8" t="e">
        <f>H13+H14+H15+H40+H41+H76+H77+H78+H89+H90+H109+H110+#REF!+#REF!+#REF!+#REF!+#REF!+#REF!+#REF!+H149+H150+H151+H152+H153+#REF!++H185+H186+H200+H201+H212+H213+H241+H242+#REF!+H265+H266+H315+H316+H331+H332+H352+H353+H385+H386+#REF!+#REF!+H393+H394+H425+H426+H441+H442+H456+H457+H280+H231</f>
        <v>#REF!</v>
      </c>
      <c r="I504" s="8" t="e">
        <f>I13+I14+I15+I40+I41+I76+I77+I78+I89+I90+I109+I110+#REF!+#REF!+#REF!+#REF!+#REF!+#REF!+#REF!+I149+I150+I151+I152+I153+#REF!++I185+I186+I200+I201+I212+I213+I241+I242+#REF!+I265+I266+I315+I316+I331+I332+I352+I353+I385+I386+#REF!+#REF!+I393+I394+I425+I426+I441+I442+I456+I457+I280+I231</f>
        <v>#REF!</v>
      </c>
      <c r="J504" s="8" t="e">
        <f>J13+J14+J15+J40+J41+J76+J77+J78+J89+J90+J109+J110+#REF!+#REF!+#REF!+#REF!+#REF!+#REF!+#REF!+J149+J150+J151+J152+J153+#REF!++J185+J186+J200+J201+J212+J213+J241+J242+#REF!+J265+J266+J315+J316+J331+J332+J352+J353+J385+J386+#REF!+#REF!+J393+J394+J425+J426+J441+J442+J456+J457+J280+J231</f>
        <v>#REF!</v>
      </c>
      <c r="K504" s="8">
        <f>K40+K41+K44+K60+K76+K77+K78+K89+K90+K93+K109+K110+K113+K132+K138+K142+K149+K150+K151+K152+K153+K185+K186+K189+K200+K201+K212+K213+K218+K231+K232+K241+K242+K246+K265+K266+K275+K280+K283+K291+K292+K304+K315+K316+K319+K331+K332+K352+K353+K356+K365+K385+K386+K393+K394+K397+K408+K409+K414+K415+K425+K426+K441+K442+K445+K456+K457+K460+K474+K475+K482</f>
        <v>13405343</v>
      </c>
      <c r="L504" s="8">
        <f>L40+L41+L44+L60+L76+L77+L78+L89+L90+L93+L109+L110+L113+L132+L138+L142+L149+L150+L151+L152+L153+L185+L186+L189+L200+L201+L212+L213+L218+L231+L232+L241+L242+L246+L265+L266+L275+L280+L283+L291+L292+L304+L315+L316+L319+L331+L332+L352+L353+L356+L365+L385+L386+L393+L394+L397+L408+L409+L414+L415+L425+L426+L441+L442+L445+L456+L457+L460+L474+L475+L482</f>
        <v>109732</v>
      </c>
      <c r="M504" s="8">
        <f>M40+M41+M44+M60+M76+M77+M78+M89+M90+M93+M109+M110+M113+M132+M138+M142+M149+M150+M151+M152+M153+M185+M186+M189+M200+M201+M212+M213+M218+M231+M232+M241+M242+M246+M265+M266+M275+M280+M283+M291+M292+M304+M315+M316+M319+M331+M332+M352+M353+M356+M365+M385+M386+M393+M394+M397+M408+M409+M414+M415+M425+M426+M441+M442+M445+M456+M457+M460+M474+M475+M482</f>
        <v>2000</v>
      </c>
      <c r="N504" s="8">
        <f t="shared" si="62"/>
        <v>13513075</v>
      </c>
      <c r="O504" s="8">
        <f>O60+O76+O77+O78+O89+O90+O93+O132+O149+O150+O151+O152+O153</f>
        <v>1898586</v>
      </c>
      <c r="P504" s="8">
        <f>P40+P41+P44+P109+P110+P113+P138+P142+P185+P186+P189+P200+P201+P212+P213+P218+P231+P232+P241+P242+P246+P265+P266+P275+P280+P283+P291+P292+P304+P315+P316+P319+P331+P332+P352+P353+P356+P365+P385+P386+P393+P394+P397+P408+P409+P414+P415+P425+P426+P441+P442+P445+P456+P457+P460+P474+P475+P482</f>
        <v>11614489</v>
      </c>
      <c r="Q504" s="8">
        <f>Q40+Q41+Q44+Q76+Q77+Q78+Q89+Q90+Q93+Q109+Q110+Q112+Q132+Q138+Q142+Q149+Q150+Q151+Q152+Q153+Q185+Q186+Q189+Q200+Q201+Q212+Q213+Q218+Q231+Q232+Q241+Q242+Q246+Q265+Q266+Q275+Q280+Q283+Q291+Q292+Q304+Q315+Q316+Q331+Q332+Q352+Q353+Q356+Q365+Q385+Q386+Q393+Q394+Q397+Q425+Q426+Q441+Q442+Q445+Q456+Q457+Q460+Q474+Q475+Q482</f>
        <v>0</v>
      </c>
    </row>
    <row r="505" spans="1:17" s="183" customFormat="1" ht="18.75" customHeight="1">
      <c r="A505" s="34"/>
      <c r="B505" s="553" t="s">
        <v>532</v>
      </c>
      <c r="C505" s="554"/>
      <c r="D505" s="554"/>
      <c r="E505" s="8" t="e">
        <f>E16+E17+E42+E43+E79+E80+E91+E92+E111+E113+E130+E131+#REF!+#REF!+E154+E155+E187+E188+E202+E203+E214+E215+E243+E244+#REF!+#REF!+#REF!+#REF!+E267+E268+#REF!+#REF!+E317+E318+E333+E334+E354+E355+E387+E388+E395+E396+E427+E428+E443+E444+E458+E459+E276+#REF!+#REF!+#REF!+#REF!+#REF!</f>
        <v>#REF!</v>
      </c>
      <c r="F505" s="8" t="e">
        <f>F16+F17+F42+F43+F79+F80+F91+F92+F111+F113+F130+F131+#REF!+#REF!+F154+F155+F187+F188+F202+F203+F214+F215+F243+F244+#REF!+#REF!+#REF!+#REF!+F267+F268+#REF!+#REF!+F317+F318+F333+F334+F354+F355+F387+F388+F395+F396+F427+F428+F443+F444+F458+F459+F276+#REF!+#REF!+#REF!+#REF!+#REF!</f>
        <v>#REF!</v>
      </c>
      <c r="G505" s="8" t="e">
        <f>G16+G17+G42+G43+G79+G80+G91+G92+G111+G113+G130+G131+#REF!+#REF!+G154+G155+G187+G188+G202+G203+G214+G215+G243+G244+#REF!+#REF!+#REF!+#REF!+G267+G268+#REF!+#REF!+G317+G318+G333+G334+G354+G355+G387+G388+G395+G396+G427+G428+G443+G444+G458+G459+G276+#REF!+#REF!+#REF!+#REF!+#REF!</f>
        <v>#REF!</v>
      </c>
      <c r="H505" s="8" t="e">
        <f>H16+H17+H42+H43+H79+H80+H91+H92+H111+H113+H130+H131+#REF!+#REF!+H154+H155+H187+H188+H202+H203+H214+H215+H243+H244+#REF!+#REF!+H267+H268+H317+H318+H333+H334+H354+H355+H387+H388+#REF!+#REF!+H395+H396+H427+H428+H443+H444+H458+H459+#REF!+#REF!+H281+H282+H233+H234</f>
        <v>#REF!</v>
      </c>
      <c r="I505" s="8" t="e">
        <f>I16+I17+I42+I43+I79+I80+I91+I92+I111+I113+I130+I131+#REF!+#REF!+I154+I155+I187+I188+I202+I203+I214+I215+I243+I244+#REF!+#REF!+I267+I268+I317+I318+I333+I334+I354+I355+I387+I388+#REF!+#REF!+I395+I396+I427+I428+I443+I444+I458+I459+#REF!+#REF!+I281+I282+I233+I234</f>
        <v>#REF!</v>
      </c>
      <c r="J505" s="8" t="e">
        <f>J16+J17+J42+J43+J79+J80+J91+J92+J111+J113+J130+J131+#REF!+#REF!+J154+J155+J187+J188+J202+J203+J214+J215+J243+J244+#REF!+#REF!+J267+J268+J317+J318+J333+J334+J354+J355+J387+J388+#REF!+#REF!+J395+J396+J427+J428+J443+J444+J458+J459+#REF!+#REF!+J281+J282+J233+J234</f>
        <v>#REF!</v>
      </c>
      <c r="K505" s="8">
        <f>K42+K43+K79+K80+K91+K92+K111+K112+K130+K131+K154+K155+K187+K188+K202+K203+K214+K215+K233+K234+K243+K244+K267+K268+K281+K282+K305+K306+K317+K318+K333+K334+K354+K355+K366+K367+K387+K388+K395+K396+K410+K411+K412+K413+K427+K428+K443+K444+K458+K459</f>
        <v>2241950</v>
      </c>
      <c r="L505" s="8">
        <f>L42+L43+L79+L80+L91+L92+L111+L112+L130+L131+L154+L155+L187+L188+L202+L203+L214+L215+L233+L234+L243+L244+L267+L268+L281+L282+L305+L306+L317+L318+L333+L334+L354+L355+L366+L367+L387+L388+L395+L396+L410+L411+L412+L413+L427+L428+L443+L444+L458+L459</f>
        <v>15081</v>
      </c>
      <c r="M505" s="8">
        <f>M42+M43+M79+M80+M91+M92+M111+M112+M130+M131+M154+M155+M187+M188+M202+M203+M214+M215+M233+M234+M243+M244+M267+M268+M281+M282+M305+M306+M317+M318+M333+M334+M354+M355+M366+M367+M387+M388+M395+M396+M410+M411+M412+M413+M427+M428+M443+M444+M458+M459</f>
        <v>0</v>
      </c>
      <c r="N505" s="8">
        <f t="shared" si="62"/>
        <v>2257031</v>
      </c>
      <c r="O505" s="8">
        <f>O79+O80+O91+O92+O130+O131+O154+O155</f>
        <v>54941</v>
      </c>
      <c r="P505" s="8">
        <f>P42+P43+P111+P112+P187+P188+P202+P203+P214+P215+P233+P234+P243+P244+P267+P268+P281+P282+P305+P306+P317+P318+P333+P334+P354+P355+P366+P367+P387+P388+P395+P396+P410+P411+P412+P413+P427+P428+P443+P444+P458+P459</f>
        <v>2202090</v>
      </c>
      <c r="Q505" s="8">
        <f>Q42+Q43+Q79+Q80+Q91+Q92+Q111+Q113+Q130+Q131+Q154+Q155+Q187+Q188+Q202+Q203+Q214+Q215+Q233+Q234+Q243+Q244+Q267+Q268+Q281+Q282+Q305+Q306+Q317+Q318+Q333+Q334+Q354+Q355+Q366+Q367+Q387+Q388+Q395+Q396+Q427+Q428+Q443+Q444+Q458+Q459</f>
        <v>0</v>
      </c>
    </row>
    <row r="506" spans="1:17" s="183" customFormat="1" ht="25.5" customHeight="1">
      <c r="A506" s="34"/>
      <c r="B506" s="555" t="s">
        <v>228</v>
      </c>
      <c r="C506" s="552"/>
      <c r="D506" s="552"/>
      <c r="E506" s="8" t="e">
        <f>E123+E227+E261+#REF!+#REF!+#REF!+E278+E481+E489+#REF!+#REF!+#REF!+#REF!+#REF!+E299</f>
        <v>#REF!</v>
      </c>
      <c r="F506" s="8" t="e">
        <f>F123+F227+F261+#REF!+#REF!+#REF!+#REF!+F481+F489+F277+#REF!+#REF!+#REF!+#REF!+#REF!+F299</f>
        <v>#REF!</v>
      </c>
      <c r="G506" s="8" t="e">
        <f>G123+G227+G261+#REF!+#REF!+#REF!+#REF!+G481+G489+G277+#REF!+#REF!+#REF!+#REF!+#REF!+G299</f>
        <v>#REF!</v>
      </c>
      <c r="H506" s="8" t="e">
        <f>H196+H209+H227+H261+#REF!+H278+#REF!+#REF!+#REF!+H481+H489+H500+H95+#REF!+H493+#REF!+H197+#REF!+#REF!+#REF!+H299+#REF!+H30+#REF!</f>
        <v>#REF!</v>
      </c>
      <c r="I506" s="8" t="e">
        <f>I196+I209+I227+I261+#REF!+I278+#REF!+#REF!+#REF!+I481+I489+I500+I95+#REF!+I493+#REF!+I197+#REF!+#REF!+#REF!+I299+#REF!+I30+#REF!</f>
        <v>#REF!</v>
      </c>
      <c r="J506" s="8" t="e">
        <f>J196+J209+J227+J261+#REF!+J278+#REF!+#REF!+#REF!+J481+J489+J500+J95+#REF!+J493+#REF!+J197+#REF!+#REF!+#REF!+J299+#REF!+J30+#REF!</f>
        <v>#REF!</v>
      </c>
      <c r="K506" s="92">
        <f>K30+K99+K125+K137+K196+K198+K209+K227+K261+K273+K278+K299+K329+K347+K348+K481+K489+K500</f>
        <v>1757483</v>
      </c>
      <c r="L506" s="92">
        <f>L30+L99+L125+L137+L196+L198+L209+L227+L261+L273+L278+L299+L329+L347+L348+L481+L489+L500</f>
        <v>0</v>
      </c>
      <c r="M506" s="92">
        <f>M30+M99+M125+M137+M196+M198+M209+M227+M261+M273+M278+M299+M329+M347+M348+M481+M489+M500</f>
        <v>0</v>
      </c>
      <c r="N506" s="8">
        <f t="shared" si="62"/>
        <v>1757483</v>
      </c>
      <c r="O506" s="92">
        <f>O30+O99+O125+O137+O196+O198+O209+O227+O261+O278+O299+O329+O347+O348+O481+O489+O500</f>
        <v>0</v>
      </c>
      <c r="P506" s="92">
        <f>P30+P99+P125+P137+P196+P198+P209+P227+P261+P273+P299+P329+P347+P348+P481+P489+P500</f>
        <v>1348464</v>
      </c>
      <c r="Q506" s="92">
        <f>Q30+Q99+Q125+Q196+Q198+Q209+Q227+Q261+Q278+Q299+Q329+Q347+Q348+Q385+Q481+Q489+Q500</f>
        <v>409019</v>
      </c>
    </row>
    <row r="507" spans="1:17" s="183" customFormat="1" ht="15.75" customHeight="1">
      <c r="A507" s="34"/>
      <c r="B507" s="555" t="s">
        <v>569</v>
      </c>
      <c r="C507" s="552"/>
      <c r="D507" s="552"/>
      <c r="E507" s="8" t="e">
        <f aca="true" t="shared" si="66" ref="E507:Q507">E172</f>
        <v>#REF!</v>
      </c>
      <c r="F507" s="8" t="e">
        <f t="shared" si="66"/>
        <v>#REF!</v>
      </c>
      <c r="G507" s="8" t="e">
        <f t="shared" si="66"/>
        <v>#REF!</v>
      </c>
      <c r="H507" s="8" t="e">
        <f t="shared" si="66"/>
        <v>#REF!</v>
      </c>
      <c r="I507" s="8" t="e">
        <f t="shared" si="66"/>
        <v>#REF!</v>
      </c>
      <c r="J507" s="8" t="e">
        <f t="shared" si="66"/>
        <v>#REF!</v>
      </c>
      <c r="K507" s="8">
        <f>K172</f>
        <v>780893</v>
      </c>
      <c r="L507" s="8">
        <f>L172</f>
        <v>0</v>
      </c>
      <c r="M507" s="8">
        <f>M172</f>
        <v>74800</v>
      </c>
      <c r="N507" s="8">
        <f t="shared" si="62"/>
        <v>706093</v>
      </c>
      <c r="O507" s="8">
        <f t="shared" si="66"/>
        <v>0</v>
      </c>
      <c r="P507" s="8">
        <f t="shared" si="66"/>
        <v>706093</v>
      </c>
      <c r="Q507" s="8">
        <f t="shared" si="66"/>
        <v>0</v>
      </c>
    </row>
    <row r="508" spans="1:17" s="183" customFormat="1" ht="15.75" customHeight="1">
      <c r="A508" s="34"/>
      <c r="B508" s="548" t="s">
        <v>570</v>
      </c>
      <c r="C508" s="549"/>
      <c r="D508" s="549"/>
      <c r="E508" s="315" t="e">
        <f>E54+E55+#REF!+#REF!+#REF!+#REF!+#REF!+#REF!+#REF!+#REF!+#REF!+E260+#REF!</f>
        <v>#REF!</v>
      </c>
      <c r="F508" s="315" t="e">
        <f>F54+F55+#REF!+#REF!+#REF!+#REF!+#REF!+#REF!+#REF!+#REF!+#REF!+F260+#REF!</f>
        <v>#REF!</v>
      </c>
      <c r="G508" s="315" t="e">
        <f>G54+G55+#REF!+#REF!+#REF!+#REF!+#REF!+#REF!+#REF!+#REF!+G260+#REF!</f>
        <v>#REF!</v>
      </c>
      <c r="H508" s="315" t="e">
        <f>H54+#REF!+#REF!+#REF!+#REF!+#REF!+#REF!+H260+#REF!+#REF!+#REF!+#REF!+H302+H345+#REF!</f>
        <v>#REF!</v>
      </c>
      <c r="I508" s="315" t="e">
        <f>I54+#REF!+#REF!+#REF!+#REF!+#REF!+#REF!+I260+#REF!+#REF!+#REF!+#REF!+I302+I345+#REF!</f>
        <v>#REF!</v>
      </c>
      <c r="J508" s="315" t="e">
        <f>J54+#REF!+#REF!+#REF!+#REF!+#REF!+#REF!+J260+#REF!+#REF!+#REF!+#REF!+J302+J345+#REF!</f>
        <v>#REF!</v>
      </c>
      <c r="K508" s="315">
        <f>K509+K510</f>
        <v>7226143</v>
      </c>
      <c r="L508" s="315">
        <f>L509+L510</f>
        <v>884550</v>
      </c>
      <c r="M508" s="315">
        <f>M509+M510</f>
        <v>200000</v>
      </c>
      <c r="N508" s="315">
        <f t="shared" si="62"/>
        <v>7910693</v>
      </c>
      <c r="O508" s="315">
        <f>O509+O510</f>
        <v>0</v>
      </c>
      <c r="P508" s="315">
        <f>P509+P510</f>
        <v>7868693</v>
      </c>
      <c r="Q508" s="315">
        <f>Q509+Q510</f>
        <v>42000</v>
      </c>
    </row>
    <row r="509" spans="1:17" s="183" customFormat="1" ht="15.75" customHeight="1">
      <c r="A509" s="34"/>
      <c r="B509" s="550" t="s">
        <v>70</v>
      </c>
      <c r="C509" s="551"/>
      <c r="D509" s="139"/>
      <c r="E509" s="8"/>
      <c r="F509" s="8"/>
      <c r="G509" s="8"/>
      <c r="H509" s="8"/>
      <c r="I509" s="123"/>
      <c r="J509" s="8"/>
      <c r="K509" s="8">
        <f>+K126</f>
        <v>42000</v>
      </c>
      <c r="L509" s="8">
        <f>+L126</f>
        <v>0</v>
      </c>
      <c r="M509" s="8">
        <f>+M126</f>
        <v>0</v>
      </c>
      <c r="N509" s="8">
        <f t="shared" si="62"/>
        <v>42000</v>
      </c>
      <c r="O509" s="8">
        <f>+O126</f>
        <v>0</v>
      </c>
      <c r="P509" s="8">
        <f>+P126</f>
        <v>0</v>
      </c>
      <c r="Q509" s="8">
        <f>+Q126</f>
        <v>42000</v>
      </c>
    </row>
    <row r="510" spans="1:17" s="183" customFormat="1" ht="17.25" customHeight="1">
      <c r="A510" s="35"/>
      <c r="B510" s="552" t="s">
        <v>702</v>
      </c>
      <c r="C510" s="552"/>
      <c r="D510" s="552"/>
      <c r="E510" s="8" t="e">
        <f>E54+E55+#REF!+#REF!+#REF!+#REF!+#REF!+#REF!+#REF!+#REF!+#REF!+E260+#REF!</f>
        <v>#REF!</v>
      </c>
      <c r="F510" s="8" t="e">
        <f>F54+F55+#REF!+#REF!+#REF!+#REF!+#REF!+#REF!+#REF!+#REF!+#REF!+F260+#REF!</f>
        <v>#REF!</v>
      </c>
      <c r="G510" s="8" t="e">
        <f>G54+G55+#REF!+#REF!+#REF!+#REF!+#REF!+#REF!+#REF!+#REF!+#REF!+G260+#REF!</f>
        <v>#REF!</v>
      </c>
      <c r="H510" s="8" t="e">
        <f>H508</f>
        <v>#REF!</v>
      </c>
      <c r="I510" s="123" t="e">
        <f>I508</f>
        <v>#REF!</v>
      </c>
      <c r="J510" s="8" t="e">
        <f>J508</f>
        <v>#REF!</v>
      </c>
      <c r="K510" s="8">
        <f>K54+K55+K56+K57+K69+K127+K168+K208+K260+K300+K301+K302+K345+K404+K438+K467+K468+K469+K490</f>
        <v>7184143</v>
      </c>
      <c r="L510" s="8">
        <f>L54+L55+L56+L57+L69+L127+L168+L208+L260+L300+L301+L302+L345+L404+L438+L467+L468+L469+L490</f>
        <v>884550</v>
      </c>
      <c r="M510" s="8">
        <f>M54+M55+M56+M57+M69+M127+M168+M208+M260+M300+M301+M302+M345+M404+M438+M467+M468+M469+M490</f>
        <v>200000</v>
      </c>
      <c r="N510" s="8">
        <f t="shared" si="62"/>
        <v>7868693</v>
      </c>
      <c r="O510" s="8">
        <f>O54+O55+O56+O57+O127+O208+O260+O300+O301+O302+O345+O404+O468+O469+O490</f>
        <v>0</v>
      </c>
      <c r="P510" s="8">
        <f>P54+P55+P56+P57+P69+P127+P168+P208+P260+P300+P301+P302+P345+P404+P438+P467+P468+P469+P490</f>
        <v>7868693</v>
      </c>
      <c r="Q510" s="8">
        <f>Q54+Q55+Q56+Q57+Q127+Q208+Q260+Q300+Q301+Q302+Q345+Q404+Q468+Q469+Q490</f>
        <v>0</v>
      </c>
    </row>
    <row r="511" spans="1:17" s="183" customFormat="1" ht="14.25" customHeight="1">
      <c r="A511" s="523"/>
      <c r="B511" s="523"/>
      <c r="C511" s="523"/>
      <c r="D511" s="36"/>
      <c r="E511" s="36"/>
      <c r="F511" s="36"/>
      <c r="G511" s="36"/>
      <c r="H511" s="36"/>
      <c r="I511" s="36" t="s">
        <v>133</v>
      </c>
      <c r="J511" t="s">
        <v>197</v>
      </c>
      <c r="K511"/>
      <c r="L511"/>
      <c r="M511"/>
      <c r="N511"/>
      <c r="O511" s="36" t="s">
        <v>250</v>
      </c>
      <c r="P511" s="36"/>
      <c r="Q511" s="127"/>
    </row>
    <row r="512" spans="1:17" s="183" customFormat="1" ht="15.75" customHeight="1">
      <c r="A512" s="524"/>
      <c r="B512" s="524"/>
      <c r="C512" s="524"/>
      <c r="D512"/>
      <c r="E512"/>
      <c r="F512"/>
      <c r="G512"/>
      <c r="H512"/>
      <c r="I512" t="s">
        <v>732</v>
      </c>
      <c r="J512" s="36"/>
      <c r="K512" s="36"/>
      <c r="L512" s="36"/>
      <c r="M512" s="36"/>
      <c r="N512"/>
      <c r="O512"/>
      <c r="P512"/>
      <c r="Q512"/>
    </row>
    <row r="513" spans="1:17" s="183" customFormat="1" ht="12.75">
      <c r="A513"/>
      <c r="B513"/>
      <c r="C513"/>
      <c r="D513"/>
      <c r="E513" s="37"/>
      <c r="F513" s="37"/>
      <c r="G513" s="37"/>
      <c r="H513" s="37"/>
      <c r="I513" s="37"/>
      <c r="J513" s="36"/>
      <c r="K513" s="36"/>
      <c r="L513" s="36"/>
      <c r="M513" s="36"/>
      <c r="N513" s="37"/>
      <c r="O513"/>
      <c r="P513" s="482" t="s">
        <v>770</v>
      </c>
      <c r="Q513" s="482"/>
    </row>
    <row r="514" spans="1:17" s="183" customFormat="1" ht="12.75">
      <c r="A514"/>
      <c r="B514"/>
      <c r="C514"/>
      <c r="D514"/>
      <c r="E514"/>
      <c r="F514"/>
      <c r="G514"/>
      <c r="H514"/>
      <c r="I514"/>
      <c r="J514" s="36"/>
      <c r="K514" s="36"/>
      <c r="L514" s="36"/>
      <c r="M514" s="36"/>
      <c r="N514"/>
      <c r="O514"/>
      <c r="P514"/>
      <c r="Q514"/>
    </row>
    <row r="515" spans="1:17" s="183" customFormat="1" ht="12.75">
      <c r="A515"/>
      <c r="B515"/>
      <c r="C515"/>
      <c r="D515"/>
      <c r="E515"/>
      <c r="F515"/>
      <c r="G515"/>
      <c r="H515"/>
      <c r="I515"/>
      <c r="J515" s="36"/>
      <c r="K515" s="36"/>
      <c r="L515" s="36"/>
      <c r="M515" s="36"/>
      <c r="N515"/>
      <c r="O515"/>
      <c r="P515" s="482" t="s">
        <v>33</v>
      </c>
      <c r="Q515" s="482"/>
    </row>
    <row r="516" spans="1:17" s="183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s="183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s="183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</sheetData>
  <mergeCells count="36">
    <mergeCell ref="B510:D510"/>
    <mergeCell ref="B504:D504"/>
    <mergeCell ref="B505:D505"/>
    <mergeCell ref="B507:D507"/>
    <mergeCell ref="B506:D506"/>
    <mergeCell ref="B503:D503"/>
    <mergeCell ref="B508:D508"/>
    <mergeCell ref="B509:C509"/>
    <mergeCell ref="B31:B32"/>
    <mergeCell ref="N4:N7"/>
    <mergeCell ref="B502:C502"/>
    <mergeCell ref="I5:I7"/>
    <mergeCell ref="C4:C7"/>
    <mergeCell ref="K4:K7"/>
    <mergeCell ref="L4:L7"/>
    <mergeCell ref="M4:M7"/>
    <mergeCell ref="A511:C512"/>
    <mergeCell ref="B4:B7"/>
    <mergeCell ref="A4:A7"/>
    <mergeCell ref="J5:J7"/>
    <mergeCell ref="I4:J4"/>
    <mergeCell ref="H4:H7"/>
    <mergeCell ref="A13:A24"/>
    <mergeCell ref="A352:A355"/>
    <mergeCell ref="G5:G7"/>
    <mergeCell ref="B9:B10"/>
    <mergeCell ref="P513:Q513"/>
    <mergeCell ref="P515:Q515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K6" sqref="K6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57" t="s">
        <v>775</v>
      </c>
      <c r="F1" s="485"/>
      <c r="G1" s="485"/>
    </row>
    <row r="2" ht="3" customHeight="1" hidden="1"/>
    <row r="3" ht="12.75" hidden="1"/>
    <row r="4" ht="12.75" hidden="1"/>
    <row r="5" spans="1:7" ht="31.5" customHeight="1">
      <c r="A5" s="570" t="s">
        <v>155</v>
      </c>
      <c r="B5" s="570"/>
      <c r="C5" s="570"/>
      <c r="D5" s="570"/>
      <c r="E5" s="570"/>
      <c r="F5" s="570"/>
      <c r="G5" s="570"/>
    </row>
    <row r="6" ht="13.5" thickBot="1"/>
    <row r="7" spans="1:7" ht="13.5" thickBot="1">
      <c r="A7" s="565" t="s">
        <v>571</v>
      </c>
      <c r="B7" s="566"/>
      <c r="C7" s="567"/>
      <c r="D7" s="561" t="s">
        <v>572</v>
      </c>
      <c r="E7" s="568" t="s">
        <v>573</v>
      </c>
      <c r="F7" s="563" t="s">
        <v>574</v>
      </c>
      <c r="G7" s="559" t="s">
        <v>575</v>
      </c>
    </row>
    <row r="8" spans="1:7" ht="90.75" customHeight="1">
      <c r="A8" s="11" t="s">
        <v>576</v>
      </c>
      <c r="B8" s="11" t="s">
        <v>577</v>
      </c>
      <c r="C8" s="38" t="s">
        <v>234</v>
      </c>
      <c r="D8" s="562"/>
      <c r="E8" s="569"/>
      <c r="F8" s="564"/>
      <c r="G8" s="560"/>
    </row>
    <row r="9" spans="1:7" ht="12.75">
      <c r="A9" s="202">
        <v>1</v>
      </c>
      <c r="B9" s="83">
        <v>2</v>
      </c>
      <c r="C9" s="83">
        <v>3</v>
      </c>
      <c r="D9" s="71">
        <v>4</v>
      </c>
      <c r="E9" s="40">
        <v>5</v>
      </c>
      <c r="F9" s="40">
        <v>6</v>
      </c>
      <c r="G9" s="40">
        <v>7</v>
      </c>
    </row>
    <row r="10" spans="1:8" ht="17.25" customHeight="1">
      <c r="A10" s="203" t="s">
        <v>578</v>
      </c>
      <c r="B10" s="203"/>
      <c r="C10" s="203"/>
      <c r="D10" s="203" t="s">
        <v>579</v>
      </c>
      <c r="E10" s="195">
        <v>0</v>
      </c>
      <c r="F10" s="195">
        <v>0</v>
      </c>
      <c r="G10" s="195">
        <f>G11+G12</f>
        <v>138608</v>
      </c>
      <c r="H10" t="s">
        <v>148</v>
      </c>
    </row>
    <row r="11" spans="1:7" ht="12.75">
      <c r="A11" s="198" t="s">
        <v>243</v>
      </c>
      <c r="B11" s="198" t="s">
        <v>39</v>
      </c>
      <c r="C11" s="198" t="s">
        <v>40</v>
      </c>
      <c r="D11" s="199" t="s">
        <v>41</v>
      </c>
      <c r="E11" s="167">
        <v>0</v>
      </c>
      <c r="F11" s="167">
        <v>0</v>
      </c>
      <c r="G11" s="167">
        <v>608</v>
      </c>
    </row>
    <row r="12" spans="1:7" ht="25.5">
      <c r="A12" s="199">
        <v>700</v>
      </c>
      <c r="B12" s="199">
        <v>70005</v>
      </c>
      <c r="C12" s="199">
        <v>2350</v>
      </c>
      <c r="D12" s="200" t="s">
        <v>311</v>
      </c>
      <c r="E12" s="167">
        <v>0</v>
      </c>
      <c r="F12" s="167">
        <v>0</v>
      </c>
      <c r="G12" s="167">
        <v>138000</v>
      </c>
    </row>
    <row r="13" spans="1:7" ht="12.75">
      <c r="A13" s="203" t="s">
        <v>580</v>
      </c>
      <c r="B13" s="556" t="s">
        <v>581</v>
      </c>
      <c r="C13" s="556"/>
      <c r="D13" s="556"/>
      <c r="E13" s="556"/>
      <c r="F13" s="556"/>
      <c r="G13" s="203"/>
    </row>
    <row r="14" spans="1:7" ht="38.25">
      <c r="A14" s="196" t="s">
        <v>243</v>
      </c>
      <c r="B14" s="196" t="s">
        <v>289</v>
      </c>
      <c r="C14" s="196" t="s">
        <v>458</v>
      </c>
      <c r="D14" s="197" t="s">
        <v>583</v>
      </c>
      <c r="E14" s="169">
        <f>'Z1'!V13</f>
        <v>30000</v>
      </c>
      <c r="F14" s="169">
        <f>F15</f>
        <v>30000</v>
      </c>
      <c r="G14" s="167">
        <v>0</v>
      </c>
    </row>
    <row r="15" spans="1:7" ht="12.75">
      <c r="A15" s="25"/>
      <c r="B15" s="25"/>
      <c r="C15" s="25" t="s">
        <v>281</v>
      </c>
      <c r="D15" s="9" t="s">
        <v>399</v>
      </c>
      <c r="E15" s="8">
        <v>0</v>
      </c>
      <c r="F15" s="8">
        <f>'Z 2'!O28</f>
        <v>30000</v>
      </c>
      <c r="G15" s="21">
        <v>0</v>
      </c>
    </row>
    <row r="16" spans="1:7" ht="12.75" hidden="1">
      <c r="A16" s="14" t="s">
        <v>243</v>
      </c>
      <c r="B16" s="14" t="s">
        <v>246</v>
      </c>
      <c r="C16" s="14" t="s">
        <v>582</v>
      </c>
      <c r="D16" s="7" t="s">
        <v>593</v>
      </c>
      <c r="E16" s="7" t="e">
        <f>#REF!</f>
        <v>#REF!</v>
      </c>
      <c r="F16" s="7">
        <f>F17+F18+F19+F20+F22+F21+F23+F24+F25+F26+F27+F28</f>
        <v>0</v>
      </c>
      <c r="G16" s="16">
        <v>0</v>
      </c>
    </row>
    <row r="17" spans="1:7" ht="25.5" hidden="1">
      <c r="A17" s="25"/>
      <c r="B17" s="25"/>
      <c r="C17" s="25" t="s">
        <v>265</v>
      </c>
      <c r="D17" s="9" t="s">
        <v>266</v>
      </c>
      <c r="E17" s="8">
        <v>0</v>
      </c>
      <c r="F17" s="8">
        <v>0</v>
      </c>
      <c r="G17" s="21">
        <v>0</v>
      </c>
    </row>
    <row r="18" spans="1:7" ht="25.5" hidden="1">
      <c r="A18" s="25"/>
      <c r="B18" s="25"/>
      <c r="C18" s="25" t="s">
        <v>267</v>
      </c>
      <c r="D18" s="9" t="s">
        <v>268</v>
      </c>
      <c r="E18" s="8">
        <v>0</v>
      </c>
      <c r="F18" s="8">
        <v>0</v>
      </c>
      <c r="G18" s="21">
        <v>0</v>
      </c>
    </row>
    <row r="19" spans="1:7" ht="12.75" hidden="1">
      <c r="A19" s="25"/>
      <c r="B19" s="25"/>
      <c r="C19" s="25" t="s">
        <v>269</v>
      </c>
      <c r="D19" s="8" t="s">
        <v>594</v>
      </c>
      <c r="E19" s="8">
        <v>0</v>
      </c>
      <c r="F19" s="8">
        <v>0</v>
      </c>
      <c r="G19" s="21">
        <v>0</v>
      </c>
    </row>
    <row r="20" spans="1:7" ht="12.75" hidden="1">
      <c r="A20" s="25"/>
      <c r="B20" s="25"/>
      <c r="C20" s="52" t="s">
        <v>298</v>
      </c>
      <c r="D20" s="9" t="s">
        <v>595</v>
      </c>
      <c r="E20" s="8">
        <v>0</v>
      </c>
      <c r="F20" s="8">
        <v>0</v>
      </c>
      <c r="G20" s="21">
        <v>0</v>
      </c>
    </row>
    <row r="21" spans="1:7" ht="12.75" hidden="1">
      <c r="A21" s="25"/>
      <c r="B21" s="25"/>
      <c r="C21" s="52" t="s">
        <v>273</v>
      </c>
      <c r="D21" s="9" t="s">
        <v>274</v>
      </c>
      <c r="E21" s="8">
        <v>0</v>
      </c>
      <c r="F21" s="8">
        <v>0</v>
      </c>
      <c r="G21" s="21">
        <v>0</v>
      </c>
    </row>
    <row r="22" spans="1:7" ht="12.75" hidden="1">
      <c r="A22" s="25"/>
      <c r="B22" s="25"/>
      <c r="C22" s="30">
        <v>4210</v>
      </c>
      <c r="D22" s="25" t="s">
        <v>276</v>
      </c>
      <c r="E22" s="8">
        <v>0</v>
      </c>
      <c r="F22" s="8">
        <v>0</v>
      </c>
      <c r="G22" s="21">
        <v>0</v>
      </c>
    </row>
    <row r="23" spans="1:7" ht="12.75" hidden="1">
      <c r="A23" s="25"/>
      <c r="B23" s="25"/>
      <c r="C23" s="30">
        <v>4260</v>
      </c>
      <c r="D23" s="25" t="s">
        <v>397</v>
      </c>
      <c r="E23" s="8">
        <v>0</v>
      </c>
      <c r="F23" s="8">
        <v>0</v>
      </c>
      <c r="G23" s="21">
        <v>0</v>
      </c>
    </row>
    <row r="24" spans="1:7" ht="12.75" hidden="1">
      <c r="A24" s="25"/>
      <c r="B24" s="25"/>
      <c r="C24" s="30">
        <v>4270</v>
      </c>
      <c r="D24" s="25" t="s">
        <v>398</v>
      </c>
      <c r="E24" s="8">
        <v>0</v>
      </c>
      <c r="F24" s="8">
        <v>0</v>
      </c>
      <c r="G24" s="21">
        <v>0</v>
      </c>
    </row>
    <row r="25" spans="1:7" ht="12.75" hidden="1">
      <c r="A25" s="25"/>
      <c r="B25" s="25"/>
      <c r="C25" s="30">
        <v>4300</v>
      </c>
      <c r="D25" s="25" t="s">
        <v>399</v>
      </c>
      <c r="E25" s="8">
        <v>0</v>
      </c>
      <c r="F25" s="8">
        <v>0</v>
      </c>
      <c r="G25" s="21">
        <v>0</v>
      </c>
    </row>
    <row r="26" spans="1:7" ht="12.75" hidden="1">
      <c r="A26" s="25"/>
      <c r="B26" s="25"/>
      <c r="C26" s="30">
        <v>4410</v>
      </c>
      <c r="D26" s="25" t="s">
        <v>284</v>
      </c>
      <c r="E26" s="8">
        <v>0</v>
      </c>
      <c r="F26" s="8">
        <v>0</v>
      </c>
      <c r="G26" s="21">
        <v>0</v>
      </c>
    </row>
    <row r="27" spans="1:7" ht="12.75" hidden="1">
      <c r="A27" s="25"/>
      <c r="B27" s="25"/>
      <c r="C27" s="30">
        <v>4430</v>
      </c>
      <c r="D27" s="25" t="s">
        <v>286</v>
      </c>
      <c r="E27" s="8">
        <v>0</v>
      </c>
      <c r="F27" s="8">
        <v>0</v>
      </c>
      <c r="G27" s="21">
        <v>0</v>
      </c>
    </row>
    <row r="28" spans="1:7" ht="12.75" hidden="1">
      <c r="A28" s="25"/>
      <c r="B28" s="25"/>
      <c r="C28" s="30">
        <v>4440</v>
      </c>
      <c r="D28" s="25" t="s">
        <v>288</v>
      </c>
      <c r="E28" s="8">
        <v>0</v>
      </c>
      <c r="F28" s="8">
        <v>0</v>
      </c>
      <c r="G28" s="21">
        <v>0</v>
      </c>
    </row>
    <row r="29" spans="1:7" ht="15.75" customHeight="1" hidden="1">
      <c r="A29" s="14" t="s">
        <v>290</v>
      </c>
      <c r="B29" s="14" t="s">
        <v>292</v>
      </c>
      <c r="C29" s="14" t="s">
        <v>582</v>
      </c>
      <c r="D29" s="7" t="s">
        <v>293</v>
      </c>
      <c r="E29" s="7">
        <v>0</v>
      </c>
      <c r="F29" s="7">
        <f>F30</f>
        <v>0</v>
      </c>
      <c r="G29" s="16">
        <v>0</v>
      </c>
    </row>
    <row r="30" spans="1:7" ht="15" customHeight="1" hidden="1">
      <c r="A30" s="25"/>
      <c r="B30" s="25"/>
      <c r="C30" s="25"/>
      <c r="D30" s="8" t="s">
        <v>438</v>
      </c>
      <c r="E30" s="8"/>
      <c r="F30" s="8">
        <v>0</v>
      </c>
      <c r="G30" s="21">
        <v>0</v>
      </c>
    </row>
    <row r="31" spans="1:7" ht="25.5">
      <c r="A31" s="196" t="s">
        <v>308</v>
      </c>
      <c r="B31" s="196" t="s">
        <v>310</v>
      </c>
      <c r="C31" s="196" t="s">
        <v>458</v>
      </c>
      <c r="D31" s="197" t="s">
        <v>311</v>
      </c>
      <c r="E31" s="169">
        <f>'Z1'!V41</f>
        <v>62000</v>
      </c>
      <c r="F31" s="169">
        <f>F32+F33+F34+F35+F37+F38+F36</f>
        <v>62000</v>
      </c>
      <c r="G31" s="169">
        <v>0</v>
      </c>
    </row>
    <row r="32" spans="1:7" ht="12.75">
      <c r="A32" s="14"/>
      <c r="B32" s="14"/>
      <c r="C32" s="27" t="s">
        <v>97</v>
      </c>
      <c r="D32" s="26" t="s">
        <v>111</v>
      </c>
      <c r="E32" s="17">
        <v>0</v>
      </c>
      <c r="F32" s="17">
        <f>'Z 2'!O60</f>
        <v>800</v>
      </c>
      <c r="G32" s="7">
        <v>0</v>
      </c>
    </row>
    <row r="33" spans="1:7" ht="12.75">
      <c r="A33" s="27"/>
      <c r="B33" s="27"/>
      <c r="C33" s="27" t="s">
        <v>277</v>
      </c>
      <c r="D33" s="26" t="s">
        <v>397</v>
      </c>
      <c r="E33" s="17">
        <v>0</v>
      </c>
      <c r="F33" s="17">
        <f>'Z 2'!O61</f>
        <v>3930</v>
      </c>
      <c r="G33" s="17">
        <v>0</v>
      </c>
    </row>
    <row r="34" spans="1:7" ht="12.75">
      <c r="A34" s="14"/>
      <c r="B34" s="14"/>
      <c r="C34" s="27" t="s">
        <v>281</v>
      </c>
      <c r="D34" s="26" t="s">
        <v>399</v>
      </c>
      <c r="E34" s="17">
        <v>0</v>
      </c>
      <c r="F34" s="17">
        <f>'Z 2'!O63</f>
        <v>41402</v>
      </c>
      <c r="G34" s="18">
        <v>0</v>
      </c>
    </row>
    <row r="35" spans="1:7" ht="12.75">
      <c r="A35" s="14"/>
      <c r="B35" s="14"/>
      <c r="C35" s="27" t="s">
        <v>303</v>
      </c>
      <c r="D35" s="26" t="s">
        <v>304</v>
      </c>
      <c r="E35" s="17">
        <v>0</v>
      </c>
      <c r="F35" s="17">
        <f>'Z 2'!O65</f>
        <v>11728</v>
      </c>
      <c r="G35" s="18">
        <v>0</v>
      </c>
    </row>
    <row r="36" spans="1:7" ht="12.75">
      <c r="A36" s="14"/>
      <c r="B36" s="14"/>
      <c r="C36" s="27" t="s">
        <v>348</v>
      </c>
      <c r="D36" s="26" t="s">
        <v>383</v>
      </c>
      <c r="E36" s="17">
        <v>0</v>
      </c>
      <c r="F36" s="17">
        <f>'Z 2'!O66</f>
        <v>4140</v>
      </c>
      <c r="G36" s="18">
        <v>0</v>
      </c>
    </row>
    <row r="37" spans="1:7" ht="12.75" hidden="1">
      <c r="A37" s="14"/>
      <c r="B37" s="14"/>
      <c r="C37" s="27" t="s">
        <v>185</v>
      </c>
      <c r="D37" s="26" t="s">
        <v>745</v>
      </c>
      <c r="E37" s="17">
        <v>0</v>
      </c>
      <c r="F37" s="17">
        <v>0</v>
      </c>
      <c r="G37" s="18">
        <v>0</v>
      </c>
    </row>
    <row r="38" spans="1:7" ht="12.75" hidden="1">
      <c r="A38" s="14"/>
      <c r="B38" s="14"/>
      <c r="C38" s="27" t="s">
        <v>504</v>
      </c>
      <c r="D38" s="26" t="s">
        <v>186</v>
      </c>
      <c r="E38" s="17">
        <v>0</v>
      </c>
      <c r="F38" s="17">
        <v>0</v>
      </c>
      <c r="G38" s="18">
        <v>0</v>
      </c>
    </row>
    <row r="39" spans="1:7" ht="38.25">
      <c r="A39" s="196" t="s">
        <v>313</v>
      </c>
      <c r="B39" s="196" t="s">
        <v>315</v>
      </c>
      <c r="C39" s="196" t="s">
        <v>458</v>
      </c>
      <c r="D39" s="197" t="s">
        <v>323</v>
      </c>
      <c r="E39" s="169">
        <f>'Z1'!V44</f>
        <v>40000</v>
      </c>
      <c r="F39" s="169">
        <f>F40</f>
        <v>40000</v>
      </c>
      <c r="G39" s="167">
        <v>0</v>
      </c>
    </row>
    <row r="40" spans="1:7" ht="12.75">
      <c r="A40" s="14"/>
      <c r="B40" s="14"/>
      <c r="C40" s="27" t="s">
        <v>281</v>
      </c>
      <c r="D40" s="26" t="s">
        <v>399</v>
      </c>
      <c r="E40" s="17">
        <v>0</v>
      </c>
      <c r="F40" s="17">
        <f>'Z 2'!O72</f>
        <v>40000</v>
      </c>
      <c r="G40" s="16">
        <v>0</v>
      </c>
    </row>
    <row r="41" spans="1:7" ht="25.5">
      <c r="A41" s="196" t="s">
        <v>313</v>
      </c>
      <c r="B41" s="196" t="s">
        <v>324</v>
      </c>
      <c r="C41" s="196" t="s">
        <v>458</v>
      </c>
      <c r="D41" s="197" t="s">
        <v>325</v>
      </c>
      <c r="E41" s="169">
        <f>'Z1'!V45</f>
        <v>25000</v>
      </c>
      <c r="F41" s="169">
        <f>F42</f>
        <v>25000</v>
      </c>
      <c r="G41" s="167">
        <v>0</v>
      </c>
    </row>
    <row r="42" spans="1:7" ht="12.75">
      <c r="A42" s="27"/>
      <c r="B42" s="27"/>
      <c r="C42" s="27" t="s">
        <v>281</v>
      </c>
      <c r="D42" s="26" t="s">
        <v>399</v>
      </c>
      <c r="E42" s="17">
        <v>0</v>
      </c>
      <c r="F42" s="17">
        <f>'Z 2'!O74</f>
        <v>25000</v>
      </c>
      <c r="G42" s="18">
        <v>0</v>
      </c>
    </row>
    <row r="43" spans="1:7" ht="12.75">
      <c r="A43" s="196" t="s">
        <v>313</v>
      </c>
      <c r="B43" s="196" t="s">
        <v>326</v>
      </c>
      <c r="C43" s="196" t="s">
        <v>458</v>
      </c>
      <c r="D43" s="169" t="s">
        <v>327</v>
      </c>
      <c r="E43" s="169">
        <f>'Z1'!V48</f>
        <v>181547</v>
      </c>
      <c r="F43" s="169">
        <f>F44+F46+F47+F49+F48+F50+F51+F52+F53+F54+F45</f>
        <v>181547</v>
      </c>
      <c r="G43" s="167">
        <v>0</v>
      </c>
    </row>
    <row r="44" spans="1:7" ht="25.5">
      <c r="A44" s="25"/>
      <c r="B44" s="14"/>
      <c r="C44" s="27" t="s">
        <v>265</v>
      </c>
      <c r="D44" s="26" t="s">
        <v>266</v>
      </c>
      <c r="E44" s="17">
        <v>0</v>
      </c>
      <c r="F44" s="17">
        <f>'Z 2'!O76</f>
        <v>49200</v>
      </c>
      <c r="G44" s="18">
        <v>0</v>
      </c>
    </row>
    <row r="45" spans="1:7" ht="25.5">
      <c r="A45" s="25"/>
      <c r="B45" s="14"/>
      <c r="C45" s="27" t="s">
        <v>267</v>
      </c>
      <c r="D45" s="9" t="s">
        <v>268</v>
      </c>
      <c r="E45" s="17">
        <v>0</v>
      </c>
      <c r="F45" s="17">
        <f>'Z 2'!O77</f>
        <v>78200</v>
      </c>
      <c r="G45" s="18">
        <v>0</v>
      </c>
    </row>
    <row r="46" spans="1:7" ht="12.75">
      <c r="A46" s="25"/>
      <c r="B46" s="14"/>
      <c r="C46" s="27" t="s">
        <v>269</v>
      </c>
      <c r="D46" s="17" t="s">
        <v>594</v>
      </c>
      <c r="E46" s="17">
        <v>0</v>
      </c>
      <c r="F46" s="17">
        <f>'Z 2'!O78</f>
        <v>8864</v>
      </c>
      <c r="G46" s="18">
        <v>0</v>
      </c>
    </row>
    <row r="47" spans="1:7" ht="12.75">
      <c r="A47" s="25"/>
      <c r="B47" s="14"/>
      <c r="C47" s="125" t="s">
        <v>298</v>
      </c>
      <c r="D47" s="26" t="s">
        <v>342</v>
      </c>
      <c r="E47" s="17">
        <v>0</v>
      </c>
      <c r="F47" s="17">
        <f>'Z 2'!O79</f>
        <v>24786</v>
      </c>
      <c r="G47" s="18">
        <v>0</v>
      </c>
    </row>
    <row r="48" spans="1:7" ht="13.5" customHeight="1">
      <c r="A48" s="25"/>
      <c r="B48" s="14"/>
      <c r="C48" s="125" t="s">
        <v>273</v>
      </c>
      <c r="D48" s="26" t="s">
        <v>274</v>
      </c>
      <c r="E48" s="17">
        <v>0</v>
      </c>
      <c r="F48" s="17">
        <f>'Z 2'!O80</f>
        <v>3338</v>
      </c>
      <c r="G48" s="18">
        <v>0</v>
      </c>
    </row>
    <row r="49" spans="1:7" ht="15" customHeight="1">
      <c r="A49" s="25"/>
      <c r="B49" s="14"/>
      <c r="C49" s="27" t="s">
        <v>275</v>
      </c>
      <c r="D49" s="17" t="s">
        <v>276</v>
      </c>
      <c r="E49" s="17">
        <v>0</v>
      </c>
      <c r="F49" s="17">
        <f>'Z 2'!O81</f>
        <v>3000</v>
      </c>
      <c r="G49" s="18">
        <v>0</v>
      </c>
    </row>
    <row r="50" spans="1:7" ht="15" customHeight="1">
      <c r="A50" s="25"/>
      <c r="B50" s="14"/>
      <c r="C50" s="27" t="s">
        <v>277</v>
      </c>
      <c r="D50" s="26" t="s">
        <v>397</v>
      </c>
      <c r="E50" s="17">
        <v>0</v>
      </c>
      <c r="F50" s="17">
        <f>'Z 2'!O82</f>
        <v>2277</v>
      </c>
      <c r="G50" s="18">
        <v>0</v>
      </c>
    </row>
    <row r="51" spans="1:7" ht="15" customHeight="1">
      <c r="A51" s="25"/>
      <c r="B51" s="14"/>
      <c r="C51" s="27" t="s">
        <v>281</v>
      </c>
      <c r="D51" s="17" t="s">
        <v>399</v>
      </c>
      <c r="E51" s="17">
        <v>0</v>
      </c>
      <c r="F51" s="17">
        <f>'Z 2'!O83</f>
        <v>6125</v>
      </c>
      <c r="G51" s="18">
        <v>0</v>
      </c>
    </row>
    <row r="52" spans="1:7" ht="15" customHeight="1">
      <c r="A52" s="25"/>
      <c r="B52" s="14"/>
      <c r="C52" s="27" t="s">
        <v>283</v>
      </c>
      <c r="D52" s="17" t="s">
        <v>284</v>
      </c>
      <c r="E52" s="17">
        <v>0</v>
      </c>
      <c r="F52" s="17">
        <f>'Z 2'!O84</f>
        <v>500</v>
      </c>
      <c r="G52" s="18">
        <v>0</v>
      </c>
    </row>
    <row r="53" spans="1:7" ht="15" customHeight="1">
      <c r="A53" s="25"/>
      <c r="B53" s="14"/>
      <c r="C53" s="27" t="s">
        <v>285</v>
      </c>
      <c r="D53" s="17" t="s">
        <v>459</v>
      </c>
      <c r="E53" s="17">
        <v>0</v>
      </c>
      <c r="F53" s="17">
        <f>'Z 2'!O85</f>
        <v>2200</v>
      </c>
      <c r="G53" s="18">
        <v>0</v>
      </c>
    </row>
    <row r="54" spans="1:7" ht="15" customHeight="1">
      <c r="A54" s="25"/>
      <c r="B54" s="14"/>
      <c r="C54" s="27" t="s">
        <v>287</v>
      </c>
      <c r="D54" s="17" t="s">
        <v>288</v>
      </c>
      <c r="E54" s="17">
        <v>0</v>
      </c>
      <c r="F54" s="17">
        <f>'Z 2'!O86</f>
        <v>3057</v>
      </c>
      <c r="G54" s="18">
        <v>0</v>
      </c>
    </row>
    <row r="55" spans="1:7" ht="12.75">
      <c r="A55" s="196" t="s">
        <v>329</v>
      </c>
      <c r="B55" s="196" t="s">
        <v>331</v>
      </c>
      <c r="C55" s="196" t="s">
        <v>458</v>
      </c>
      <c r="D55" s="169" t="s">
        <v>332</v>
      </c>
      <c r="E55" s="169">
        <f>'Z1'!V50</f>
        <v>102748</v>
      </c>
      <c r="F55" s="169">
        <f>F56+F57+F58+F59+F60+F61+F62+F63+F64</f>
        <v>102748</v>
      </c>
      <c r="G55" s="167">
        <v>0</v>
      </c>
    </row>
    <row r="56" spans="1:7" ht="25.5">
      <c r="A56" s="25"/>
      <c r="B56" s="14"/>
      <c r="C56" s="27" t="s">
        <v>265</v>
      </c>
      <c r="D56" s="26" t="s">
        <v>266</v>
      </c>
      <c r="E56" s="17">
        <v>0</v>
      </c>
      <c r="F56" s="17">
        <f>'Z 2'!O89</f>
        <v>70400</v>
      </c>
      <c r="G56" s="18">
        <v>0</v>
      </c>
    </row>
    <row r="57" spans="1:7" ht="12.75">
      <c r="A57" s="25"/>
      <c r="B57" s="14"/>
      <c r="C57" s="27" t="s">
        <v>269</v>
      </c>
      <c r="D57" s="17" t="s">
        <v>594</v>
      </c>
      <c r="E57" s="17">
        <v>0</v>
      </c>
      <c r="F57" s="17">
        <f>'Z 2'!O90</f>
        <v>4712</v>
      </c>
      <c r="G57" s="18">
        <v>0</v>
      </c>
    </row>
    <row r="58" spans="1:7" ht="12.75">
      <c r="A58" s="25"/>
      <c r="B58" s="14"/>
      <c r="C58" s="125" t="s">
        <v>298</v>
      </c>
      <c r="D58" s="26" t="s">
        <v>342</v>
      </c>
      <c r="E58" s="17">
        <v>0</v>
      </c>
      <c r="F58" s="17">
        <f>'Z 2'!O91</f>
        <v>12942</v>
      </c>
      <c r="G58" s="18">
        <v>0</v>
      </c>
    </row>
    <row r="59" spans="1:7" ht="12.75">
      <c r="A59" s="25"/>
      <c r="B59" s="14"/>
      <c r="C59" s="125" t="s">
        <v>273</v>
      </c>
      <c r="D59" s="26" t="s">
        <v>274</v>
      </c>
      <c r="E59" s="17">
        <v>0</v>
      </c>
      <c r="F59" s="17">
        <f>'Z 2'!O92</f>
        <v>1840</v>
      </c>
      <c r="G59" s="18">
        <v>0</v>
      </c>
    </row>
    <row r="60" spans="1:7" ht="12.75">
      <c r="A60" s="25"/>
      <c r="B60" s="14"/>
      <c r="C60" s="125" t="s">
        <v>97</v>
      </c>
      <c r="D60" s="26" t="s">
        <v>111</v>
      </c>
      <c r="E60" s="17">
        <v>0</v>
      </c>
      <c r="F60" s="17">
        <f>'Z 2'!O93</f>
        <v>7160</v>
      </c>
      <c r="G60" s="18">
        <v>0</v>
      </c>
    </row>
    <row r="61" spans="1:7" ht="12.75">
      <c r="A61" s="25"/>
      <c r="B61" s="14"/>
      <c r="C61" s="27" t="s">
        <v>275</v>
      </c>
      <c r="D61" s="17" t="s">
        <v>276</v>
      </c>
      <c r="E61" s="17">
        <v>0</v>
      </c>
      <c r="F61" s="17">
        <f>'Z 2'!O94</f>
        <v>1060</v>
      </c>
      <c r="G61" s="18">
        <v>0</v>
      </c>
    </row>
    <row r="62" spans="1:7" ht="12.75">
      <c r="A62" s="25"/>
      <c r="B62" s="14"/>
      <c r="C62" s="27" t="s">
        <v>281</v>
      </c>
      <c r="D62" s="17" t="s">
        <v>399</v>
      </c>
      <c r="E62" s="17">
        <v>0</v>
      </c>
      <c r="F62" s="17">
        <f>'Z 2'!O95</f>
        <v>1400</v>
      </c>
      <c r="G62" s="18">
        <v>0</v>
      </c>
    </row>
    <row r="63" spans="1:7" ht="12.75">
      <c r="A63" s="25"/>
      <c r="B63" s="14"/>
      <c r="C63" s="27" t="s">
        <v>283</v>
      </c>
      <c r="D63" s="17" t="s">
        <v>284</v>
      </c>
      <c r="E63" s="17">
        <v>0</v>
      </c>
      <c r="F63" s="17">
        <f>'Z 2'!O96</f>
        <v>600</v>
      </c>
      <c r="G63" s="18">
        <v>0</v>
      </c>
    </row>
    <row r="64" spans="1:7" ht="12.75">
      <c r="A64" s="25"/>
      <c r="B64" s="14"/>
      <c r="C64" s="27" t="s">
        <v>287</v>
      </c>
      <c r="D64" s="17" t="s">
        <v>288</v>
      </c>
      <c r="E64" s="17">
        <v>0</v>
      </c>
      <c r="F64" s="17">
        <f>'Z 2'!O97</f>
        <v>2634</v>
      </c>
      <c r="G64" s="18">
        <v>0</v>
      </c>
    </row>
    <row r="65" spans="1:7" ht="15.75" customHeight="1">
      <c r="A65" s="196" t="s">
        <v>329</v>
      </c>
      <c r="B65" s="196" t="s">
        <v>340</v>
      </c>
      <c r="C65" s="196" t="s">
        <v>458</v>
      </c>
      <c r="D65" s="169" t="s">
        <v>341</v>
      </c>
      <c r="E65" s="169">
        <f>'Z1'!V58</f>
        <v>13000</v>
      </c>
      <c r="F65" s="169">
        <f>F66+F67+F68+F69+F70+F71+F72</f>
        <v>13000</v>
      </c>
      <c r="G65" s="167">
        <v>0</v>
      </c>
    </row>
    <row r="66" spans="1:7" ht="15.75" customHeight="1">
      <c r="A66" s="14"/>
      <c r="B66" s="14"/>
      <c r="C66" s="27" t="s">
        <v>263</v>
      </c>
      <c r="D66" s="17" t="s">
        <v>596</v>
      </c>
      <c r="E66" s="17">
        <v>0</v>
      </c>
      <c r="F66" s="17">
        <f>'Z 2'!O129</f>
        <v>5330</v>
      </c>
      <c r="G66" s="18">
        <v>0</v>
      </c>
    </row>
    <row r="67" spans="1:7" ht="15.75" customHeight="1">
      <c r="A67" s="14"/>
      <c r="B67" s="14"/>
      <c r="C67" s="27" t="s">
        <v>298</v>
      </c>
      <c r="D67" s="17" t="s">
        <v>342</v>
      </c>
      <c r="E67" s="17">
        <v>0</v>
      </c>
      <c r="F67" s="17">
        <f>'Z 2'!O130</f>
        <v>775</v>
      </c>
      <c r="G67" s="18">
        <v>0</v>
      </c>
    </row>
    <row r="68" spans="1:7" ht="15.75" customHeight="1">
      <c r="A68" s="14"/>
      <c r="B68" s="14"/>
      <c r="C68" s="27" t="s">
        <v>273</v>
      </c>
      <c r="D68" s="17" t="s">
        <v>274</v>
      </c>
      <c r="E68" s="17">
        <v>0</v>
      </c>
      <c r="F68" s="17">
        <f>'Z 2'!O131</f>
        <v>110</v>
      </c>
      <c r="G68" s="18">
        <v>0</v>
      </c>
    </row>
    <row r="69" spans="1:7" ht="15.75" customHeight="1">
      <c r="A69" s="14"/>
      <c r="B69" s="14"/>
      <c r="C69" s="27" t="s">
        <v>97</v>
      </c>
      <c r="D69" s="17" t="s">
        <v>111</v>
      </c>
      <c r="E69" s="17">
        <v>0</v>
      </c>
      <c r="F69" s="17">
        <f>'Z 2'!O132</f>
        <v>5400</v>
      </c>
      <c r="G69" s="18">
        <v>0</v>
      </c>
    </row>
    <row r="70" spans="1:7" ht="15.75" customHeight="1">
      <c r="A70" s="14"/>
      <c r="B70" s="14"/>
      <c r="C70" s="27" t="s">
        <v>275</v>
      </c>
      <c r="D70" s="17" t="s">
        <v>276</v>
      </c>
      <c r="E70" s="17">
        <v>0</v>
      </c>
      <c r="F70" s="17">
        <f>'Z 2'!O133</f>
        <v>687</v>
      </c>
      <c r="G70" s="18">
        <v>0</v>
      </c>
    </row>
    <row r="71" spans="1:7" ht="15.75" customHeight="1">
      <c r="A71" s="14"/>
      <c r="B71" s="14"/>
      <c r="C71" s="27" t="s">
        <v>281</v>
      </c>
      <c r="D71" s="17" t="s">
        <v>399</v>
      </c>
      <c r="E71" s="17">
        <v>0</v>
      </c>
      <c r="F71" s="17">
        <f>'Z 2'!O134</f>
        <v>450</v>
      </c>
      <c r="G71" s="18">
        <v>0</v>
      </c>
    </row>
    <row r="72" spans="1:7" ht="15.75" customHeight="1">
      <c r="A72" s="14"/>
      <c r="B72" s="14"/>
      <c r="C72" s="27" t="s">
        <v>283</v>
      </c>
      <c r="D72" s="17" t="s">
        <v>284</v>
      </c>
      <c r="E72" s="17">
        <v>0</v>
      </c>
      <c r="F72" s="17">
        <f>'Z 2'!O135</f>
        <v>248</v>
      </c>
      <c r="G72" s="18">
        <v>0</v>
      </c>
    </row>
    <row r="73" spans="1:7" ht="12.75" hidden="1">
      <c r="A73" s="14" t="s">
        <v>345</v>
      </c>
      <c r="B73" s="14" t="s">
        <v>347</v>
      </c>
      <c r="C73" s="14" t="s">
        <v>582</v>
      </c>
      <c r="D73" s="7" t="s">
        <v>384</v>
      </c>
      <c r="E73" s="7">
        <v>0</v>
      </c>
      <c r="F73" s="7">
        <f>F76+F78+F79+F80+F81+F83+F84+F85+F77+F86+F87+F88+F89+F90+F91+F92+F93+F74+F75+F82</f>
        <v>0</v>
      </c>
      <c r="G73" s="16">
        <v>0</v>
      </c>
    </row>
    <row r="74" spans="1:7" ht="12.75" hidden="1">
      <c r="A74" s="14"/>
      <c r="B74" s="14"/>
      <c r="C74" s="27" t="s">
        <v>248</v>
      </c>
      <c r="D74" s="17" t="s">
        <v>597</v>
      </c>
      <c r="E74" s="17">
        <v>0</v>
      </c>
      <c r="F74" s="17">
        <v>0</v>
      </c>
      <c r="G74" s="18">
        <v>0</v>
      </c>
    </row>
    <row r="75" spans="1:7" ht="12.75" hidden="1">
      <c r="A75" s="14"/>
      <c r="B75" s="14"/>
      <c r="C75" s="27" t="s">
        <v>263</v>
      </c>
      <c r="D75" s="17" t="s">
        <v>596</v>
      </c>
      <c r="E75" s="17">
        <v>0</v>
      </c>
      <c r="F75" s="17">
        <v>0</v>
      </c>
      <c r="G75" s="18">
        <v>0</v>
      </c>
    </row>
    <row r="76" spans="1:7" ht="25.5" hidden="1">
      <c r="A76" s="25"/>
      <c r="B76" s="25"/>
      <c r="C76" s="25" t="s">
        <v>265</v>
      </c>
      <c r="D76" s="9" t="s">
        <v>266</v>
      </c>
      <c r="E76" s="8">
        <v>0</v>
      </c>
      <c r="F76" s="8">
        <v>0</v>
      </c>
      <c r="G76" s="21">
        <v>0</v>
      </c>
    </row>
    <row r="77" spans="1:7" ht="25.5" hidden="1">
      <c r="A77" s="25"/>
      <c r="B77" s="25"/>
      <c r="C77" s="25" t="s">
        <v>267</v>
      </c>
      <c r="D77" s="9" t="s">
        <v>385</v>
      </c>
      <c r="E77" s="8">
        <v>0</v>
      </c>
      <c r="F77" s="8">
        <v>0</v>
      </c>
      <c r="G77" s="21">
        <v>0</v>
      </c>
    </row>
    <row r="78" spans="1:7" ht="12.75" hidden="1">
      <c r="A78" s="25"/>
      <c r="B78" s="25"/>
      <c r="C78" s="25" t="s">
        <v>269</v>
      </c>
      <c r="D78" s="9" t="s">
        <v>598</v>
      </c>
      <c r="E78" s="8">
        <v>0</v>
      </c>
      <c r="F78" s="8">
        <v>0</v>
      </c>
      <c r="G78" s="21">
        <v>0</v>
      </c>
    </row>
    <row r="79" spans="1:7" ht="25.5" hidden="1">
      <c r="A79" s="25"/>
      <c r="B79" s="25"/>
      <c r="C79" s="25" t="s">
        <v>386</v>
      </c>
      <c r="D79" s="9" t="s">
        <v>599</v>
      </c>
      <c r="E79" s="8">
        <v>0</v>
      </c>
      <c r="F79" s="8">
        <v>0</v>
      </c>
      <c r="G79" s="21">
        <v>0</v>
      </c>
    </row>
    <row r="80" spans="1:7" ht="12.75" hidden="1">
      <c r="A80" s="25"/>
      <c r="B80" s="25"/>
      <c r="C80" s="25" t="s">
        <v>388</v>
      </c>
      <c r="D80" s="8" t="s">
        <v>600</v>
      </c>
      <c r="E80" s="8">
        <v>0</v>
      </c>
      <c r="F80" s="8">
        <v>0</v>
      </c>
      <c r="G80" s="21">
        <v>0</v>
      </c>
    </row>
    <row r="81" spans="1:7" ht="12.75" hidden="1">
      <c r="A81" s="25"/>
      <c r="B81" s="25"/>
      <c r="C81" s="25" t="s">
        <v>390</v>
      </c>
      <c r="D81" s="8" t="s">
        <v>391</v>
      </c>
      <c r="E81" s="8">
        <v>0</v>
      </c>
      <c r="F81" s="8">
        <v>0</v>
      </c>
      <c r="G81" s="21">
        <v>0</v>
      </c>
    </row>
    <row r="82" spans="1:7" ht="38.25" hidden="1">
      <c r="A82" s="25"/>
      <c r="B82" s="25"/>
      <c r="C82" s="25" t="s">
        <v>392</v>
      </c>
      <c r="D82" s="9" t="s">
        <v>605</v>
      </c>
      <c r="E82" s="8">
        <v>0</v>
      </c>
      <c r="F82" s="8">
        <v>0</v>
      </c>
      <c r="G82" s="21"/>
    </row>
    <row r="83" spans="1:7" ht="12.75" hidden="1">
      <c r="A83" s="25"/>
      <c r="B83" s="25"/>
      <c r="C83" s="25" t="s">
        <v>298</v>
      </c>
      <c r="D83" s="9" t="s">
        <v>601</v>
      </c>
      <c r="E83" s="8">
        <v>0</v>
      </c>
      <c r="F83" s="8">
        <v>0</v>
      </c>
      <c r="G83" s="21">
        <v>0</v>
      </c>
    </row>
    <row r="84" spans="1:7" ht="18" customHeight="1" hidden="1">
      <c r="A84" s="25"/>
      <c r="B84" s="25"/>
      <c r="C84" s="52" t="s">
        <v>273</v>
      </c>
      <c r="D84" s="9" t="s">
        <v>274</v>
      </c>
      <c r="E84" s="8">
        <v>0</v>
      </c>
      <c r="F84" s="8">
        <v>0</v>
      </c>
      <c r="G84" s="21">
        <v>0</v>
      </c>
    </row>
    <row r="85" spans="1:7" ht="12.75" hidden="1">
      <c r="A85" s="25"/>
      <c r="B85" s="25"/>
      <c r="C85" s="25" t="s">
        <v>275</v>
      </c>
      <c r="D85" s="8" t="s">
        <v>276</v>
      </c>
      <c r="E85" s="8">
        <v>0</v>
      </c>
      <c r="F85" s="8">
        <v>0</v>
      </c>
      <c r="G85" s="21">
        <v>0</v>
      </c>
    </row>
    <row r="86" spans="1:7" ht="12.75" hidden="1">
      <c r="A86" s="25"/>
      <c r="B86" s="25"/>
      <c r="C86" s="25" t="s">
        <v>393</v>
      </c>
      <c r="D86" s="8" t="s">
        <v>602</v>
      </c>
      <c r="E86" s="8">
        <v>0</v>
      </c>
      <c r="F86" s="8">
        <v>0</v>
      </c>
      <c r="G86" s="21">
        <v>0</v>
      </c>
    </row>
    <row r="87" spans="1:7" ht="12.75" hidden="1">
      <c r="A87" s="25"/>
      <c r="B87" s="25"/>
      <c r="C87" s="25" t="s">
        <v>395</v>
      </c>
      <c r="D87" s="8" t="s">
        <v>396</v>
      </c>
      <c r="E87" s="8">
        <v>0</v>
      </c>
      <c r="F87" s="8">
        <v>0</v>
      </c>
      <c r="G87" s="21">
        <v>0</v>
      </c>
    </row>
    <row r="88" spans="1:7" ht="12.75" hidden="1">
      <c r="A88" s="25"/>
      <c r="B88" s="25"/>
      <c r="C88" s="25" t="s">
        <v>277</v>
      </c>
      <c r="D88" s="8" t="s">
        <v>397</v>
      </c>
      <c r="E88" s="8">
        <v>0</v>
      </c>
      <c r="F88" s="8">
        <v>0</v>
      </c>
      <c r="G88" s="21">
        <v>0</v>
      </c>
    </row>
    <row r="89" spans="1:7" ht="12.75" hidden="1">
      <c r="A89" s="25"/>
      <c r="B89" s="25"/>
      <c r="C89" s="25" t="s">
        <v>279</v>
      </c>
      <c r="D89" s="8" t="s">
        <v>398</v>
      </c>
      <c r="E89" s="8">
        <v>0</v>
      </c>
      <c r="F89" s="8">
        <v>0</v>
      </c>
      <c r="G89" s="21">
        <v>0</v>
      </c>
    </row>
    <row r="90" spans="1:7" ht="12.75" hidden="1">
      <c r="A90" s="25"/>
      <c r="B90" s="25"/>
      <c r="C90" s="25" t="s">
        <v>281</v>
      </c>
      <c r="D90" s="8" t="s">
        <v>399</v>
      </c>
      <c r="E90" s="8">
        <v>0</v>
      </c>
      <c r="F90" s="8">
        <v>0</v>
      </c>
      <c r="G90" s="21">
        <v>0</v>
      </c>
    </row>
    <row r="91" spans="1:7" ht="12.75" hidden="1">
      <c r="A91" s="25"/>
      <c r="B91" s="25"/>
      <c r="C91" s="25" t="s">
        <v>283</v>
      </c>
      <c r="D91" s="8" t="s">
        <v>284</v>
      </c>
      <c r="E91" s="8">
        <v>0</v>
      </c>
      <c r="F91" s="8">
        <v>0</v>
      </c>
      <c r="G91" s="21">
        <v>0</v>
      </c>
    </row>
    <row r="92" spans="1:7" ht="12.75" hidden="1">
      <c r="A92" s="25"/>
      <c r="B92" s="25"/>
      <c r="C92" s="25" t="s">
        <v>287</v>
      </c>
      <c r="D92" s="8" t="s">
        <v>288</v>
      </c>
      <c r="E92" s="8">
        <v>0</v>
      </c>
      <c r="F92" s="8">
        <v>0</v>
      </c>
      <c r="G92" s="21">
        <v>0</v>
      </c>
    </row>
    <row r="93" spans="1:7" ht="12.75" hidden="1">
      <c r="A93" s="25"/>
      <c r="B93" s="25"/>
      <c r="C93" s="25" t="s">
        <v>303</v>
      </c>
      <c r="D93" s="8" t="s">
        <v>304</v>
      </c>
      <c r="E93" s="8">
        <v>0</v>
      </c>
      <c r="F93" s="8">
        <v>0</v>
      </c>
      <c r="G93" s="21">
        <v>0</v>
      </c>
    </row>
    <row r="94" spans="1:7" ht="24.75" customHeight="1">
      <c r="A94" s="196" t="s">
        <v>345</v>
      </c>
      <c r="B94" s="196" t="s">
        <v>400</v>
      </c>
      <c r="C94" s="196" t="s">
        <v>458</v>
      </c>
      <c r="D94" s="197" t="s">
        <v>603</v>
      </c>
      <c r="E94" s="169">
        <f>'Z1'!V62</f>
        <v>2201000</v>
      </c>
      <c r="F94" s="169">
        <f>F95+F96+F97+F98+F99+F100+F101+F102+F103+F104+F105+F106+F107+F108+F109+F110+F111+F112+F113+F114</f>
        <v>2201000</v>
      </c>
      <c r="G94" s="167">
        <v>0</v>
      </c>
    </row>
    <row r="95" spans="1:7" ht="24.75" customHeight="1">
      <c r="A95" s="303"/>
      <c r="B95" s="303"/>
      <c r="C95" s="305" t="s">
        <v>683</v>
      </c>
      <c r="D95" s="291" t="s">
        <v>716</v>
      </c>
      <c r="E95" s="304">
        <v>0</v>
      </c>
      <c r="F95" s="188">
        <f>'Z 2'!O148</f>
        <v>149000</v>
      </c>
      <c r="G95" s="306"/>
    </row>
    <row r="96" spans="1:7" ht="24.75" customHeight="1">
      <c r="A96" s="14"/>
      <c r="B96" s="27"/>
      <c r="C96" s="27" t="s">
        <v>267</v>
      </c>
      <c r="D96" s="26" t="s">
        <v>604</v>
      </c>
      <c r="E96" s="17">
        <v>0</v>
      </c>
      <c r="F96" s="188">
        <f>'Z 2'!O149</f>
        <v>19000</v>
      </c>
      <c r="G96" s="18">
        <v>0</v>
      </c>
    </row>
    <row r="97" spans="1:7" ht="18" customHeight="1">
      <c r="A97" s="14"/>
      <c r="B97" s="27"/>
      <c r="C97" s="27" t="s">
        <v>269</v>
      </c>
      <c r="D97" s="26" t="s">
        <v>598</v>
      </c>
      <c r="E97" s="17">
        <v>0</v>
      </c>
      <c r="F97" s="188">
        <f>'Z 2'!O150</f>
        <v>2000</v>
      </c>
      <c r="G97" s="18">
        <v>0</v>
      </c>
    </row>
    <row r="98" spans="1:7" ht="24" customHeight="1">
      <c r="A98" s="14"/>
      <c r="B98" s="27"/>
      <c r="C98" s="27" t="s">
        <v>386</v>
      </c>
      <c r="D98" s="9" t="s">
        <v>599</v>
      </c>
      <c r="E98" s="17">
        <v>0</v>
      </c>
      <c r="F98" s="188">
        <f>'Z 2'!O151</f>
        <v>1388850</v>
      </c>
      <c r="G98" s="18">
        <v>0</v>
      </c>
    </row>
    <row r="99" spans="1:7" ht="17.25" customHeight="1">
      <c r="A99" s="14"/>
      <c r="B99" s="27"/>
      <c r="C99" s="27" t="s">
        <v>388</v>
      </c>
      <c r="D99" s="8" t="s">
        <v>600</v>
      </c>
      <c r="E99" s="17">
        <v>0</v>
      </c>
      <c r="F99" s="188">
        <f>'Z 2'!O152</f>
        <v>147000</v>
      </c>
      <c r="G99" s="18">
        <v>0</v>
      </c>
    </row>
    <row r="100" spans="1:7" ht="14.25" customHeight="1">
      <c r="A100" s="14"/>
      <c r="B100" s="27"/>
      <c r="C100" s="25" t="s">
        <v>390</v>
      </c>
      <c r="D100" s="8" t="s">
        <v>391</v>
      </c>
      <c r="E100" s="17">
        <v>0</v>
      </c>
      <c r="F100" s="188">
        <f>'Z 2'!O153</f>
        <v>117000</v>
      </c>
      <c r="G100" s="18">
        <v>0</v>
      </c>
    </row>
    <row r="101" spans="1:7" ht="17.25" customHeight="1">
      <c r="A101" s="14"/>
      <c r="B101" s="27"/>
      <c r="C101" s="52" t="s">
        <v>298</v>
      </c>
      <c r="D101" s="9" t="s">
        <v>601</v>
      </c>
      <c r="E101" s="17">
        <v>0</v>
      </c>
      <c r="F101" s="188">
        <f>'Z 2'!O154</f>
        <v>10500</v>
      </c>
      <c r="G101" s="18">
        <v>0</v>
      </c>
    </row>
    <row r="102" spans="1:7" ht="15" customHeight="1">
      <c r="A102" s="14"/>
      <c r="B102" s="27"/>
      <c r="C102" s="52" t="s">
        <v>273</v>
      </c>
      <c r="D102" s="9" t="s">
        <v>274</v>
      </c>
      <c r="E102" s="17">
        <v>0</v>
      </c>
      <c r="F102" s="188">
        <f>'Z 2'!O155</f>
        <v>650</v>
      </c>
      <c r="G102" s="18">
        <v>0</v>
      </c>
    </row>
    <row r="103" spans="1:7" ht="20.25" customHeight="1">
      <c r="A103" s="14"/>
      <c r="B103" s="14"/>
      <c r="C103" s="25" t="s">
        <v>685</v>
      </c>
      <c r="D103" s="9" t="s">
        <v>156</v>
      </c>
      <c r="E103" s="17">
        <v>0</v>
      </c>
      <c r="F103" s="188">
        <f>'Z 2'!O156</f>
        <v>93000</v>
      </c>
      <c r="G103" s="46">
        <v>0</v>
      </c>
    </row>
    <row r="104" spans="1:7" ht="18.75" customHeight="1">
      <c r="A104" s="14"/>
      <c r="B104" s="14"/>
      <c r="C104" s="27" t="s">
        <v>275</v>
      </c>
      <c r="D104" s="17" t="s">
        <v>276</v>
      </c>
      <c r="E104" s="17">
        <v>0</v>
      </c>
      <c r="F104" s="188">
        <f>'Z 2'!O157</f>
        <v>137820</v>
      </c>
      <c r="G104" s="46">
        <v>0</v>
      </c>
    </row>
    <row r="105" spans="1:7" ht="21.75" customHeight="1">
      <c r="A105" s="14"/>
      <c r="B105" s="14"/>
      <c r="C105" s="27" t="s">
        <v>395</v>
      </c>
      <c r="D105" s="17" t="s">
        <v>396</v>
      </c>
      <c r="E105" s="17">
        <v>0</v>
      </c>
      <c r="F105" s="188">
        <f>'Z 2'!O158</f>
        <v>20000</v>
      </c>
      <c r="G105" s="46">
        <v>0</v>
      </c>
    </row>
    <row r="106" spans="1:7" ht="21.75" customHeight="1">
      <c r="A106" s="14"/>
      <c r="B106" s="14"/>
      <c r="C106" s="27" t="s">
        <v>277</v>
      </c>
      <c r="D106" s="17" t="s">
        <v>397</v>
      </c>
      <c r="E106" s="17">
        <v>0</v>
      </c>
      <c r="F106" s="188">
        <f>'Z 2'!O159</f>
        <v>18000</v>
      </c>
      <c r="G106" s="46">
        <v>0</v>
      </c>
    </row>
    <row r="107" spans="1:7" ht="21.75" customHeight="1">
      <c r="A107" s="14"/>
      <c r="B107" s="14"/>
      <c r="C107" s="27" t="s">
        <v>279</v>
      </c>
      <c r="D107" s="17" t="s">
        <v>398</v>
      </c>
      <c r="E107" s="17">
        <v>0</v>
      </c>
      <c r="F107" s="188">
        <f>'Z 2'!O160</f>
        <v>12000</v>
      </c>
      <c r="G107" s="46">
        <v>0</v>
      </c>
    </row>
    <row r="108" spans="1:7" ht="21.75" customHeight="1">
      <c r="A108" s="14"/>
      <c r="B108" s="14"/>
      <c r="C108" s="27" t="s">
        <v>349</v>
      </c>
      <c r="D108" s="17" t="s">
        <v>350</v>
      </c>
      <c r="E108" s="17">
        <v>0</v>
      </c>
      <c r="F108" s="188">
        <f>'Z 2'!O161</f>
        <v>14520</v>
      </c>
      <c r="G108" s="46">
        <v>0</v>
      </c>
    </row>
    <row r="109" spans="1:7" ht="21.75" customHeight="1">
      <c r="A109" s="14"/>
      <c r="B109" s="14"/>
      <c r="C109" s="27" t="s">
        <v>281</v>
      </c>
      <c r="D109" s="17" t="s">
        <v>399</v>
      </c>
      <c r="E109" s="17">
        <v>0</v>
      </c>
      <c r="F109" s="188">
        <f>'Z 2'!O162</f>
        <v>45000</v>
      </c>
      <c r="G109" s="46">
        <v>0</v>
      </c>
    </row>
    <row r="110" spans="1:7" ht="21.75" customHeight="1">
      <c r="A110" s="14"/>
      <c r="B110" s="14"/>
      <c r="C110" s="27" t="s">
        <v>283</v>
      </c>
      <c r="D110" s="17" t="s">
        <v>284</v>
      </c>
      <c r="E110" s="17">
        <v>0</v>
      </c>
      <c r="F110" s="188">
        <f>'Z 2'!O163</f>
        <v>7000</v>
      </c>
      <c r="G110" s="46">
        <v>0</v>
      </c>
    </row>
    <row r="111" spans="1:7" ht="17.25" customHeight="1">
      <c r="A111" s="14"/>
      <c r="B111" s="14"/>
      <c r="C111" s="27" t="s">
        <v>285</v>
      </c>
      <c r="D111" s="17" t="s">
        <v>286</v>
      </c>
      <c r="E111" s="17">
        <v>0</v>
      </c>
      <c r="F111" s="188">
        <f>'Z 2'!O164</f>
        <v>8000</v>
      </c>
      <c r="G111" s="46">
        <v>0</v>
      </c>
    </row>
    <row r="112" spans="1:7" ht="18" customHeight="1">
      <c r="A112" s="14"/>
      <c r="B112" s="14"/>
      <c r="C112" s="27" t="s">
        <v>287</v>
      </c>
      <c r="D112" s="17" t="s">
        <v>288</v>
      </c>
      <c r="E112" s="17">
        <v>0</v>
      </c>
      <c r="F112" s="188">
        <f>'Z 2'!O165</f>
        <v>1000</v>
      </c>
      <c r="G112" s="46">
        <v>0</v>
      </c>
    </row>
    <row r="113" spans="1:7" ht="18.75" customHeight="1">
      <c r="A113" s="14"/>
      <c r="B113" s="14"/>
      <c r="C113" s="27" t="s">
        <v>348</v>
      </c>
      <c r="D113" s="17" t="s">
        <v>383</v>
      </c>
      <c r="E113" s="17">
        <v>0</v>
      </c>
      <c r="F113" s="188">
        <f>'Z 2'!O166</f>
        <v>10500</v>
      </c>
      <c r="G113" s="46">
        <v>0</v>
      </c>
    </row>
    <row r="114" spans="1:7" ht="15.75" customHeight="1">
      <c r="A114" s="14"/>
      <c r="B114" s="14"/>
      <c r="C114" s="27" t="s">
        <v>402</v>
      </c>
      <c r="D114" s="17" t="s">
        <v>608</v>
      </c>
      <c r="E114" s="17">
        <v>0</v>
      </c>
      <c r="F114" s="188">
        <f>'Z 2'!O167</f>
        <v>160</v>
      </c>
      <c r="G114" s="46">
        <v>0</v>
      </c>
    </row>
    <row r="115" spans="1:7" ht="21.75" customHeight="1" hidden="1">
      <c r="A115" s="14"/>
      <c r="B115" s="14"/>
      <c r="C115" s="27" t="s">
        <v>305</v>
      </c>
      <c r="D115" s="17" t="s">
        <v>609</v>
      </c>
      <c r="E115" s="17">
        <v>0</v>
      </c>
      <c r="F115" s="17">
        <v>0</v>
      </c>
      <c r="G115" s="46">
        <v>0</v>
      </c>
    </row>
    <row r="116" spans="1:7" ht="21.75" customHeight="1">
      <c r="A116" s="196" t="s">
        <v>345</v>
      </c>
      <c r="B116" s="196" t="s">
        <v>687</v>
      </c>
      <c r="C116" s="196" t="s">
        <v>458</v>
      </c>
      <c r="D116" s="169" t="s">
        <v>465</v>
      </c>
      <c r="E116" s="169">
        <f>'Z1'!V73</f>
        <v>3000</v>
      </c>
      <c r="F116" s="169">
        <f>F117+F118</f>
        <v>3000</v>
      </c>
      <c r="G116" s="201">
        <v>0</v>
      </c>
    </row>
    <row r="117" spans="1:7" ht="21.75" customHeight="1">
      <c r="A117" s="14"/>
      <c r="B117" s="14"/>
      <c r="C117" s="27" t="s">
        <v>275</v>
      </c>
      <c r="D117" s="17" t="s">
        <v>276</v>
      </c>
      <c r="E117" s="7">
        <v>0</v>
      </c>
      <c r="F117" s="17">
        <f>'Z 2'!N170</f>
        <v>1400</v>
      </c>
      <c r="G117" s="45">
        <v>0</v>
      </c>
    </row>
    <row r="118" spans="1:7" ht="21.75" customHeight="1">
      <c r="A118" s="14"/>
      <c r="B118" s="14"/>
      <c r="C118" s="27" t="s">
        <v>281</v>
      </c>
      <c r="D118" s="17" t="s">
        <v>399</v>
      </c>
      <c r="E118" s="17">
        <v>0</v>
      </c>
      <c r="F118" s="17">
        <f>'Z 2'!N171</f>
        <v>1600</v>
      </c>
      <c r="G118" s="46">
        <v>0</v>
      </c>
    </row>
    <row r="119" spans="1:7" ht="28.5" customHeight="1">
      <c r="A119" s="196" t="s">
        <v>471</v>
      </c>
      <c r="B119" s="196" t="s">
        <v>477</v>
      </c>
      <c r="C119" s="196" t="s">
        <v>458</v>
      </c>
      <c r="D119" s="197" t="s">
        <v>610</v>
      </c>
      <c r="E119" s="169">
        <f>'Z1'!V121</f>
        <v>548000</v>
      </c>
      <c r="F119" s="169">
        <f>F120</f>
        <v>548000</v>
      </c>
      <c r="G119" s="201">
        <v>0</v>
      </c>
    </row>
    <row r="120" spans="1:7" ht="20.25" customHeight="1">
      <c r="A120" s="14"/>
      <c r="B120" s="14"/>
      <c r="C120" s="27" t="s">
        <v>478</v>
      </c>
      <c r="D120" s="26" t="s">
        <v>611</v>
      </c>
      <c r="E120" s="17">
        <v>0</v>
      </c>
      <c r="F120" s="17">
        <f>'Z 2'!N310</f>
        <v>548000</v>
      </c>
      <c r="G120" s="46">
        <v>0</v>
      </c>
    </row>
    <row r="121" spans="1:7" ht="25.5" hidden="1">
      <c r="A121" s="14" t="s">
        <v>480</v>
      </c>
      <c r="B121" s="14" t="s">
        <v>491</v>
      </c>
      <c r="C121" s="14" t="s">
        <v>582</v>
      </c>
      <c r="D121" s="4" t="s">
        <v>492</v>
      </c>
      <c r="E121" s="7" t="e">
        <f>#REF!</f>
        <v>#REF!</v>
      </c>
      <c r="F121" s="7">
        <f>F122+F124+F123+F125+F126+F127+F128+F129+F130</f>
        <v>0</v>
      </c>
      <c r="G121" s="16">
        <v>0</v>
      </c>
    </row>
    <row r="122" spans="1:7" ht="25.5" hidden="1">
      <c r="A122" s="25"/>
      <c r="B122" s="14"/>
      <c r="C122" s="27" t="s">
        <v>265</v>
      </c>
      <c r="D122" s="26" t="s">
        <v>266</v>
      </c>
      <c r="E122" s="17">
        <v>0</v>
      </c>
      <c r="F122" s="17">
        <v>0</v>
      </c>
      <c r="G122" s="18">
        <v>0</v>
      </c>
    </row>
    <row r="123" spans="1:7" ht="12.75" hidden="1">
      <c r="A123" s="25"/>
      <c r="B123" s="14"/>
      <c r="C123" s="27" t="s">
        <v>269</v>
      </c>
      <c r="D123" s="26" t="s">
        <v>594</v>
      </c>
      <c r="E123" s="17">
        <v>0</v>
      </c>
      <c r="F123" s="17">
        <v>0</v>
      </c>
      <c r="G123" s="18">
        <v>0</v>
      </c>
    </row>
    <row r="124" spans="1:7" ht="12.75" hidden="1">
      <c r="A124" s="25"/>
      <c r="B124" s="14"/>
      <c r="C124" s="125" t="s">
        <v>298</v>
      </c>
      <c r="D124" s="26" t="s">
        <v>342</v>
      </c>
      <c r="E124" s="17">
        <v>0</v>
      </c>
      <c r="F124" s="17">
        <v>0</v>
      </c>
      <c r="G124" s="18">
        <v>0</v>
      </c>
    </row>
    <row r="125" spans="1:7" ht="12.75" hidden="1">
      <c r="A125" s="25"/>
      <c r="B125" s="14"/>
      <c r="C125" s="125" t="s">
        <v>273</v>
      </c>
      <c r="D125" s="26" t="s">
        <v>274</v>
      </c>
      <c r="E125" s="17">
        <v>0</v>
      </c>
      <c r="F125" s="17">
        <v>0</v>
      </c>
      <c r="G125" s="18">
        <v>0</v>
      </c>
    </row>
    <row r="126" spans="1:7" ht="13.5" customHeight="1" hidden="1">
      <c r="A126" s="25"/>
      <c r="B126" s="14"/>
      <c r="C126" s="125" t="s">
        <v>275</v>
      </c>
      <c r="D126" s="26" t="s">
        <v>276</v>
      </c>
      <c r="E126" s="17">
        <v>0</v>
      </c>
      <c r="F126" s="17">
        <v>0</v>
      </c>
      <c r="G126" s="18">
        <v>0</v>
      </c>
    </row>
    <row r="127" spans="1:7" ht="12.75" hidden="1">
      <c r="A127" s="25"/>
      <c r="B127" s="14"/>
      <c r="C127" s="125" t="s">
        <v>277</v>
      </c>
      <c r="D127" s="26" t="s">
        <v>397</v>
      </c>
      <c r="E127" s="17">
        <v>0</v>
      </c>
      <c r="F127" s="17">
        <v>0</v>
      </c>
      <c r="G127" s="18">
        <v>0</v>
      </c>
    </row>
    <row r="128" spans="1:7" ht="12.75" hidden="1">
      <c r="A128" s="25"/>
      <c r="B128" s="14"/>
      <c r="C128" s="125" t="s">
        <v>281</v>
      </c>
      <c r="D128" s="26" t="s">
        <v>399</v>
      </c>
      <c r="E128" s="17">
        <v>0</v>
      </c>
      <c r="F128" s="17">
        <v>0</v>
      </c>
      <c r="G128" s="18">
        <v>0</v>
      </c>
    </row>
    <row r="129" spans="1:7" ht="12.75" hidden="1">
      <c r="A129" s="25"/>
      <c r="B129" s="14"/>
      <c r="C129" s="125" t="s">
        <v>283</v>
      </c>
      <c r="D129" s="26" t="s">
        <v>284</v>
      </c>
      <c r="E129" s="17">
        <v>0</v>
      </c>
      <c r="F129" s="17">
        <v>0</v>
      </c>
      <c r="G129" s="18">
        <v>0</v>
      </c>
    </row>
    <row r="130" spans="1:7" ht="12.75" hidden="1">
      <c r="A130" s="25"/>
      <c r="B130" s="14"/>
      <c r="C130" s="125" t="s">
        <v>287</v>
      </c>
      <c r="D130" s="26" t="s">
        <v>288</v>
      </c>
      <c r="E130" s="17">
        <v>0</v>
      </c>
      <c r="F130" s="17">
        <v>0</v>
      </c>
      <c r="G130" s="18">
        <v>0</v>
      </c>
    </row>
    <row r="131" spans="1:7" ht="12.75" hidden="1">
      <c r="A131" s="14" t="s">
        <v>480</v>
      </c>
      <c r="B131" s="14" t="s">
        <v>497</v>
      </c>
      <c r="C131" s="14" t="s">
        <v>582</v>
      </c>
      <c r="D131" s="7" t="s">
        <v>498</v>
      </c>
      <c r="E131" s="7" t="e">
        <f>#REF!</f>
        <v>#REF!</v>
      </c>
      <c r="F131" s="7">
        <f>F132+F133+F134+F135+F136+F137+F139+F140+F141+F142+F143</f>
        <v>0</v>
      </c>
      <c r="G131" s="16">
        <v>0</v>
      </c>
    </row>
    <row r="132" spans="1:7" ht="25.5" hidden="1">
      <c r="A132" s="25"/>
      <c r="B132" s="14"/>
      <c r="C132" s="27" t="s">
        <v>265</v>
      </c>
      <c r="D132" s="26" t="s">
        <v>266</v>
      </c>
      <c r="E132" s="17">
        <v>0</v>
      </c>
      <c r="F132" s="17">
        <v>0</v>
      </c>
      <c r="G132" s="18">
        <v>0</v>
      </c>
    </row>
    <row r="133" spans="1:7" ht="12.75" hidden="1">
      <c r="A133" s="25"/>
      <c r="B133" s="14"/>
      <c r="C133" s="27" t="s">
        <v>269</v>
      </c>
      <c r="D133" s="17" t="s">
        <v>594</v>
      </c>
      <c r="E133" s="17">
        <v>0</v>
      </c>
      <c r="F133" s="17">
        <v>0</v>
      </c>
      <c r="G133" s="18">
        <v>0</v>
      </c>
    </row>
    <row r="134" spans="1:7" ht="12.75" hidden="1">
      <c r="A134" s="25"/>
      <c r="B134" s="14"/>
      <c r="C134" s="125" t="s">
        <v>298</v>
      </c>
      <c r="D134" s="26" t="s">
        <v>342</v>
      </c>
      <c r="E134" s="17">
        <v>0</v>
      </c>
      <c r="F134" s="17">
        <v>0</v>
      </c>
      <c r="G134" s="18">
        <v>0</v>
      </c>
    </row>
    <row r="135" spans="1:7" ht="12.75" hidden="1">
      <c r="A135" s="25"/>
      <c r="B135" s="14"/>
      <c r="C135" s="125" t="s">
        <v>273</v>
      </c>
      <c r="D135" s="26" t="s">
        <v>274</v>
      </c>
      <c r="E135" s="17">
        <v>0</v>
      </c>
      <c r="F135" s="17">
        <v>0</v>
      </c>
      <c r="G135" s="18">
        <v>0</v>
      </c>
    </row>
    <row r="136" spans="1:7" ht="12.75" hidden="1">
      <c r="A136" s="25"/>
      <c r="B136" s="25"/>
      <c r="C136" s="27" t="s">
        <v>275</v>
      </c>
      <c r="D136" s="17" t="s">
        <v>276</v>
      </c>
      <c r="E136" s="17">
        <v>0</v>
      </c>
      <c r="F136" s="17">
        <v>0</v>
      </c>
      <c r="G136" s="18">
        <v>0</v>
      </c>
    </row>
    <row r="137" spans="1:7" ht="12.75" hidden="1">
      <c r="A137" s="25"/>
      <c r="B137" s="25"/>
      <c r="C137" s="27" t="s">
        <v>277</v>
      </c>
      <c r="D137" s="17" t="s">
        <v>397</v>
      </c>
      <c r="E137" s="17">
        <v>0</v>
      </c>
      <c r="F137" s="17">
        <v>0</v>
      </c>
      <c r="G137" s="18">
        <v>0</v>
      </c>
    </row>
    <row r="138" spans="1:7" ht="12.75" hidden="1">
      <c r="A138" s="25"/>
      <c r="B138" s="25"/>
      <c r="C138" s="27" t="s">
        <v>279</v>
      </c>
      <c r="D138" s="17" t="s">
        <v>398</v>
      </c>
      <c r="E138" s="17">
        <v>0</v>
      </c>
      <c r="F138" s="17">
        <v>15074</v>
      </c>
      <c r="G138" s="18">
        <v>0</v>
      </c>
    </row>
    <row r="139" spans="1:7" ht="12.75" hidden="1">
      <c r="A139" s="25"/>
      <c r="B139" s="25"/>
      <c r="C139" s="27" t="s">
        <v>281</v>
      </c>
      <c r="D139" s="17" t="s">
        <v>399</v>
      </c>
      <c r="E139" s="17">
        <v>0</v>
      </c>
      <c r="F139" s="17">
        <v>0</v>
      </c>
      <c r="G139" s="18">
        <v>0</v>
      </c>
    </row>
    <row r="140" spans="1:7" ht="12.75" hidden="1">
      <c r="A140" s="25"/>
      <c r="B140" s="25"/>
      <c r="C140" s="27" t="s">
        <v>283</v>
      </c>
      <c r="D140" s="17" t="s">
        <v>284</v>
      </c>
      <c r="E140" s="17">
        <v>0</v>
      </c>
      <c r="F140" s="17">
        <v>0</v>
      </c>
      <c r="G140" s="18">
        <v>0</v>
      </c>
    </row>
    <row r="141" spans="1:7" ht="12.75" hidden="1">
      <c r="A141" s="25"/>
      <c r="B141" s="25"/>
      <c r="C141" s="27" t="s">
        <v>285</v>
      </c>
      <c r="D141" s="17" t="s">
        <v>286</v>
      </c>
      <c r="E141" s="17">
        <v>0</v>
      </c>
      <c r="F141" s="17">
        <v>0</v>
      </c>
      <c r="G141" s="18">
        <v>0</v>
      </c>
    </row>
    <row r="142" spans="1:7" ht="12.75" hidden="1">
      <c r="A142" s="25"/>
      <c r="B142" s="25"/>
      <c r="C142" s="27" t="s">
        <v>287</v>
      </c>
      <c r="D142" s="17" t="s">
        <v>288</v>
      </c>
      <c r="E142" s="17">
        <v>0</v>
      </c>
      <c r="F142" s="17">
        <v>0</v>
      </c>
      <c r="G142" s="18">
        <v>0</v>
      </c>
    </row>
    <row r="143" spans="1:7" ht="12.75" hidden="1">
      <c r="A143" s="25"/>
      <c r="B143" s="25"/>
      <c r="C143" s="27" t="s">
        <v>303</v>
      </c>
      <c r="D143" s="17" t="s">
        <v>304</v>
      </c>
      <c r="E143" s="17">
        <v>0</v>
      </c>
      <c r="F143" s="17">
        <v>0</v>
      </c>
      <c r="G143" s="18">
        <v>0</v>
      </c>
    </row>
    <row r="144" spans="1:7" ht="21" customHeight="1">
      <c r="A144" s="558" t="s">
        <v>612</v>
      </c>
      <c r="B144" s="558"/>
      <c r="C144" s="558"/>
      <c r="D144" s="558"/>
      <c r="E144" s="187">
        <f>E14+E31+E39+E41+E43+E55+E65+E94+E116+E119</f>
        <v>3206295</v>
      </c>
      <c r="F144" s="187">
        <f>F14+F31+F39+F41+F43+F55+F65+F94+F116+F119</f>
        <v>3206295</v>
      </c>
      <c r="G144" s="187">
        <f>G10</f>
        <v>138608</v>
      </c>
    </row>
    <row r="145" ht="12.75">
      <c r="E145" t="s">
        <v>226</v>
      </c>
    </row>
  </sheetData>
  <mergeCells count="9">
    <mergeCell ref="B13:F13"/>
    <mergeCell ref="E1:G1"/>
    <mergeCell ref="A144:D144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57" t="s">
        <v>781</v>
      </c>
      <c r="F1" s="557"/>
    </row>
    <row r="2" spans="5:6" ht="30" customHeight="1">
      <c r="E2" s="1"/>
      <c r="F2" s="1"/>
    </row>
    <row r="3" spans="1:6" ht="63" customHeight="1" thickBot="1">
      <c r="A3" s="575" t="s">
        <v>94</v>
      </c>
      <c r="B3" s="575"/>
      <c r="C3" s="575"/>
      <c r="D3" s="575"/>
      <c r="E3" s="575"/>
      <c r="F3" s="575"/>
    </row>
    <row r="4" spans="1:6" ht="13.5" thickBot="1">
      <c r="A4" s="576" t="s">
        <v>571</v>
      </c>
      <c r="B4" s="577"/>
      <c r="C4" s="578"/>
      <c r="D4" s="579" t="s">
        <v>572</v>
      </c>
      <c r="E4" s="581" t="s">
        <v>613</v>
      </c>
      <c r="F4" s="583" t="s">
        <v>574</v>
      </c>
    </row>
    <row r="5" spans="1:6" ht="12.75">
      <c r="A5" s="343" t="s">
        <v>576</v>
      </c>
      <c r="B5" s="344" t="s">
        <v>577</v>
      </c>
      <c r="C5" s="343" t="s">
        <v>234</v>
      </c>
      <c r="D5" s="580"/>
      <c r="E5" s="582"/>
      <c r="F5" s="584"/>
    </row>
    <row r="6" spans="1:6" ht="12.75" customHeight="1" thickBot="1">
      <c r="A6" s="337">
        <v>1</v>
      </c>
      <c r="B6" s="334">
        <v>2</v>
      </c>
      <c r="C6" s="334">
        <v>3</v>
      </c>
      <c r="D6" s="338">
        <v>4</v>
      </c>
      <c r="E6" s="334">
        <v>5</v>
      </c>
      <c r="F6" s="334">
        <v>6</v>
      </c>
    </row>
    <row r="7" spans="1:6" ht="12.75">
      <c r="A7" s="336">
        <v>852</v>
      </c>
      <c r="B7" s="336">
        <v>85201</v>
      </c>
      <c r="C7" s="336">
        <v>2130</v>
      </c>
      <c r="D7" s="336" t="s">
        <v>356</v>
      </c>
      <c r="E7" s="336">
        <f>'Z1'!V127</f>
        <v>3000</v>
      </c>
      <c r="F7" s="340">
        <f>F8</f>
        <v>3000</v>
      </c>
    </row>
    <row r="8" spans="1:6" ht="12.75">
      <c r="A8" s="50"/>
      <c r="B8" s="42"/>
      <c r="C8" s="96">
        <v>4010</v>
      </c>
      <c r="D8" s="97" t="s">
        <v>266</v>
      </c>
      <c r="E8" s="339"/>
      <c r="F8" s="98">
        <v>3000</v>
      </c>
    </row>
    <row r="9" spans="1:6" ht="12.75">
      <c r="A9" s="167">
        <v>852</v>
      </c>
      <c r="B9" s="167">
        <v>85202</v>
      </c>
      <c r="C9" s="167">
        <v>2130</v>
      </c>
      <c r="D9" s="204" t="s">
        <v>487</v>
      </c>
      <c r="E9" s="205">
        <f>'Z1'!V133</f>
        <v>543538</v>
      </c>
      <c r="F9" s="340">
        <f>F10+F11+F12+F14+F13+F15+F16+F17+F18+F19+F20+F21+F22+F23+F24+F25+F26</f>
        <v>543538</v>
      </c>
    </row>
    <row r="10" spans="1:6" ht="18" customHeight="1">
      <c r="A10" s="95"/>
      <c r="B10" s="48"/>
      <c r="C10" s="101">
        <v>4010</v>
      </c>
      <c r="D10" s="97" t="s">
        <v>266</v>
      </c>
      <c r="E10" s="94">
        <v>0</v>
      </c>
      <c r="F10" s="98">
        <v>306229</v>
      </c>
    </row>
    <row r="11" spans="1:6" ht="12.75">
      <c r="A11" s="99"/>
      <c r="B11" s="100"/>
      <c r="C11" s="101">
        <v>4040</v>
      </c>
      <c r="D11" s="97" t="s">
        <v>598</v>
      </c>
      <c r="E11" s="94">
        <v>0</v>
      </c>
      <c r="F11" s="98">
        <v>30087</v>
      </c>
    </row>
    <row r="12" spans="1:6" ht="12.75">
      <c r="A12" s="99"/>
      <c r="B12" s="100"/>
      <c r="C12" s="155">
        <v>4110</v>
      </c>
      <c r="D12" s="97" t="s">
        <v>342</v>
      </c>
      <c r="E12" s="94">
        <v>0</v>
      </c>
      <c r="F12" s="98">
        <v>58150</v>
      </c>
    </row>
    <row r="13" spans="1:6" ht="12.75">
      <c r="A13" s="99"/>
      <c r="B13" s="100"/>
      <c r="C13" s="155">
        <v>4120</v>
      </c>
      <c r="D13" s="97" t="s">
        <v>274</v>
      </c>
      <c r="E13" s="94">
        <v>0</v>
      </c>
      <c r="F13" s="98">
        <v>8270</v>
      </c>
    </row>
    <row r="14" spans="1:6" ht="12.75" hidden="1">
      <c r="A14" s="99"/>
      <c r="B14" s="100"/>
      <c r="C14" s="101">
        <v>3020</v>
      </c>
      <c r="D14" s="97" t="s">
        <v>95</v>
      </c>
      <c r="E14" s="94">
        <v>0</v>
      </c>
      <c r="F14" s="98">
        <v>0</v>
      </c>
    </row>
    <row r="15" spans="1:6" ht="12.75" hidden="1">
      <c r="A15" s="99"/>
      <c r="B15" s="100"/>
      <c r="C15" s="101">
        <v>3030</v>
      </c>
      <c r="D15" s="97" t="s">
        <v>484</v>
      </c>
      <c r="E15" s="94">
        <v>0</v>
      </c>
      <c r="F15" s="98">
        <v>0</v>
      </c>
    </row>
    <row r="16" spans="1:6" ht="12.75">
      <c r="A16" s="50"/>
      <c r="B16" s="42"/>
      <c r="C16" s="101">
        <v>4410</v>
      </c>
      <c r="D16" s="97" t="s">
        <v>284</v>
      </c>
      <c r="E16" s="94">
        <v>0</v>
      </c>
      <c r="F16" s="98">
        <v>600</v>
      </c>
    </row>
    <row r="17" spans="1:6" ht="12.75">
      <c r="A17" s="95"/>
      <c r="B17" s="48"/>
      <c r="C17" s="101">
        <v>4210</v>
      </c>
      <c r="D17" s="97" t="s">
        <v>276</v>
      </c>
      <c r="E17" s="94">
        <v>0</v>
      </c>
      <c r="F17" s="98">
        <v>54716</v>
      </c>
    </row>
    <row r="18" spans="1:6" ht="12.75">
      <c r="A18" s="99"/>
      <c r="B18" s="100"/>
      <c r="C18" s="102">
        <v>4220</v>
      </c>
      <c r="D18" s="103" t="s">
        <v>394</v>
      </c>
      <c r="E18" s="104">
        <v>0</v>
      </c>
      <c r="F18" s="105">
        <v>1000</v>
      </c>
    </row>
    <row r="19" spans="1:6" ht="12.75">
      <c r="A19" s="16"/>
      <c r="B19" s="16"/>
      <c r="C19" s="18">
        <v>4230</v>
      </c>
      <c r="D19" s="97" t="s">
        <v>96</v>
      </c>
      <c r="E19" s="94">
        <v>0</v>
      </c>
      <c r="F19" s="98">
        <v>3805</v>
      </c>
    </row>
    <row r="20" spans="1:6" ht="12.75">
      <c r="A20" s="16"/>
      <c r="B20" s="16"/>
      <c r="C20" s="18">
        <v>4260</v>
      </c>
      <c r="D20" s="97" t="s">
        <v>397</v>
      </c>
      <c r="E20" s="94">
        <v>0</v>
      </c>
      <c r="F20" s="98">
        <v>33152</v>
      </c>
    </row>
    <row r="21" spans="1:6" ht="12.75" hidden="1">
      <c r="A21" s="99"/>
      <c r="B21" s="100"/>
      <c r="C21" s="106">
        <v>4270</v>
      </c>
      <c r="D21" s="107" t="s">
        <v>398</v>
      </c>
      <c r="E21" s="108">
        <v>0</v>
      </c>
      <c r="F21" s="109">
        <v>0</v>
      </c>
    </row>
    <row r="22" spans="1:6" ht="12.75">
      <c r="A22" s="99"/>
      <c r="B22" s="100"/>
      <c r="C22" s="101">
        <v>4300</v>
      </c>
      <c r="D22" s="97" t="s">
        <v>399</v>
      </c>
      <c r="E22" s="94">
        <v>0</v>
      </c>
      <c r="F22" s="98">
        <v>31440</v>
      </c>
    </row>
    <row r="23" spans="1:6" ht="12.75">
      <c r="A23" s="99"/>
      <c r="B23" s="100"/>
      <c r="C23" s="101">
        <v>4430</v>
      </c>
      <c r="D23" s="97" t="s">
        <v>286</v>
      </c>
      <c r="E23" s="94">
        <v>0</v>
      </c>
      <c r="F23" s="98">
        <v>0</v>
      </c>
    </row>
    <row r="24" spans="1:6" ht="12.75">
      <c r="A24" s="99"/>
      <c r="B24" s="100"/>
      <c r="C24" s="101">
        <v>4440</v>
      </c>
      <c r="D24" s="97" t="s">
        <v>288</v>
      </c>
      <c r="E24" s="94">
        <v>0</v>
      </c>
      <c r="F24" s="98">
        <v>14350</v>
      </c>
    </row>
    <row r="25" spans="1:6" ht="12.75">
      <c r="A25" s="99"/>
      <c r="B25" s="100"/>
      <c r="C25" s="101">
        <v>4480</v>
      </c>
      <c r="D25" s="97" t="s">
        <v>304</v>
      </c>
      <c r="E25" s="94">
        <v>0</v>
      </c>
      <c r="F25" s="98">
        <v>1313</v>
      </c>
    </row>
    <row r="26" spans="1:6" ht="12.75">
      <c r="A26" s="99"/>
      <c r="B26" s="100"/>
      <c r="C26" s="102">
        <v>4520</v>
      </c>
      <c r="D26" s="103" t="s">
        <v>608</v>
      </c>
      <c r="E26" s="104"/>
      <c r="F26" s="105">
        <v>426</v>
      </c>
    </row>
    <row r="27" spans="1:6" ht="25.5">
      <c r="A27" s="167">
        <v>852</v>
      </c>
      <c r="B27" s="167">
        <v>85218</v>
      </c>
      <c r="C27" s="167">
        <v>2130</v>
      </c>
      <c r="D27" s="204" t="s">
        <v>492</v>
      </c>
      <c r="E27" s="205">
        <f>'Z1'!V139</f>
        <v>3000</v>
      </c>
      <c r="F27" s="206">
        <f>F28</f>
        <v>3000</v>
      </c>
    </row>
    <row r="28" spans="1:6" ht="12.75">
      <c r="A28" s="457"/>
      <c r="B28" s="457"/>
      <c r="C28" s="460">
        <v>4010</v>
      </c>
      <c r="D28" s="103" t="s">
        <v>266</v>
      </c>
      <c r="E28" s="458">
        <v>0</v>
      </c>
      <c r="F28" s="459">
        <v>3000</v>
      </c>
    </row>
    <row r="29" spans="1:6" ht="12.75">
      <c r="A29" s="453">
        <v>854</v>
      </c>
      <c r="B29" s="453">
        <v>85415</v>
      </c>
      <c r="C29" s="453">
        <v>2130</v>
      </c>
      <c r="D29" s="454" t="s">
        <v>106</v>
      </c>
      <c r="E29" s="455">
        <f>'Z1'!V170</f>
        <v>248400</v>
      </c>
      <c r="F29" s="456">
        <f>F30</f>
        <v>248400</v>
      </c>
    </row>
    <row r="30" spans="1:6" ht="15" customHeight="1" thickBot="1">
      <c r="A30" s="48"/>
      <c r="B30" s="48"/>
      <c r="C30" s="341">
        <v>3240</v>
      </c>
      <c r="D30" s="103" t="s">
        <v>772</v>
      </c>
      <c r="E30" s="104">
        <v>0</v>
      </c>
      <c r="F30" s="105">
        <v>248400</v>
      </c>
    </row>
    <row r="31" spans="1:6" ht="18.75" customHeight="1" thickBot="1">
      <c r="A31" s="572" t="s">
        <v>114</v>
      </c>
      <c r="B31" s="573"/>
      <c r="C31" s="573"/>
      <c r="D31" s="574"/>
      <c r="E31" s="342">
        <f>E7+E9+E27+E29</f>
        <v>797938</v>
      </c>
      <c r="F31" s="342">
        <f>F7+F9+F27+F29</f>
        <v>797938</v>
      </c>
    </row>
    <row r="32" ht="12.75">
      <c r="C32" s="110"/>
    </row>
    <row r="33" spans="3:5" ht="12.75">
      <c r="C33" s="110"/>
      <c r="E33" s="128" t="s">
        <v>197</v>
      </c>
    </row>
    <row r="34" spans="1:6" ht="38.25" customHeight="1">
      <c r="A34" s="571"/>
      <c r="B34" s="571"/>
      <c r="C34" s="571"/>
      <c r="D34" s="571"/>
      <c r="E34" s="571"/>
      <c r="F34" s="571"/>
    </row>
    <row r="35" ht="12.75">
      <c r="C35" s="110"/>
    </row>
    <row r="36" ht="12.75">
      <c r="C36" s="110"/>
    </row>
    <row r="37" ht="12.75">
      <c r="C37" s="110"/>
    </row>
    <row r="38" ht="12.75">
      <c r="C38" s="110"/>
    </row>
  </sheetData>
  <mergeCells count="8">
    <mergeCell ref="E1:F1"/>
    <mergeCell ref="A34:F34"/>
    <mergeCell ref="A31:D31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I6" sqref="I6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585" t="s">
        <v>776</v>
      </c>
      <c r="D1" s="585"/>
      <c r="E1" s="585"/>
      <c r="F1" s="585"/>
    </row>
    <row r="2" spans="1:6" ht="33.75" customHeight="1">
      <c r="A2" s="586" t="s">
        <v>24</v>
      </c>
      <c r="B2" s="586"/>
      <c r="C2" s="586"/>
      <c r="D2" s="586"/>
      <c r="E2" s="586"/>
      <c r="F2" s="586"/>
    </row>
    <row r="3" spans="1:6" ht="12" customHeight="1">
      <c r="A3" s="587" t="s">
        <v>571</v>
      </c>
      <c r="B3" s="587"/>
      <c r="C3" s="587"/>
      <c r="D3" s="486" t="s">
        <v>572</v>
      </c>
      <c r="E3" s="486" t="s">
        <v>613</v>
      </c>
      <c r="F3" s="486" t="s">
        <v>574</v>
      </c>
    </row>
    <row r="4" spans="1:6" ht="12" customHeight="1">
      <c r="A4" s="13" t="s">
        <v>576</v>
      </c>
      <c r="B4" s="13" t="s">
        <v>577</v>
      </c>
      <c r="C4" s="13" t="s">
        <v>234</v>
      </c>
      <c r="D4" s="486"/>
      <c r="E4" s="486"/>
      <c r="F4" s="486"/>
    </row>
    <row r="5" spans="1:6" ht="11.2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</row>
    <row r="6" spans="1:6" ht="17.25" customHeight="1">
      <c r="A6" s="212"/>
      <c r="B6" s="212"/>
      <c r="C6" s="212"/>
      <c r="D6" s="213" t="s">
        <v>43</v>
      </c>
      <c r="E6" s="213">
        <f>E7+E10+E13+E17</f>
        <v>803221</v>
      </c>
      <c r="F6" s="213">
        <f>F13+F17</f>
        <v>0</v>
      </c>
    </row>
    <row r="7" spans="1:6" ht="24.75" customHeight="1">
      <c r="A7" s="199">
        <v>754</v>
      </c>
      <c r="B7" s="199">
        <v>75411</v>
      </c>
      <c r="C7" s="330"/>
      <c r="D7" s="200" t="s">
        <v>353</v>
      </c>
      <c r="E7" s="199">
        <f>E9</f>
        <v>20000</v>
      </c>
      <c r="F7" s="199"/>
    </row>
    <row r="8" spans="1:6" ht="12" customHeight="1">
      <c r="A8" s="329"/>
      <c r="B8" s="329"/>
      <c r="C8" s="328"/>
      <c r="D8" s="332" t="s">
        <v>616</v>
      </c>
      <c r="E8" s="329"/>
      <c r="F8" s="329"/>
    </row>
    <row r="9" spans="1:6" ht="14.25" customHeight="1">
      <c r="A9" s="328"/>
      <c r="B9" s="328"/>
      <c r="C9" s="331">
        <v>6630</v>
      </c>
      <c r="D9" s="333" t="s">
        <v>441</v>
      </c>
      <c r="E9" s="331">
        <f>'Z1'!V64</f>
        <v>20000</v>
      </c>
      <c r="F9" s="329"/>
    </row>
    <row r="10" spans="1:6" ht="14.25" customHeight="1">
      <c r="A10" s="199">
        <v>801</v>
      </c>
      <c r="B10" s="199">
        <v>80147</v>
      </c>
      <c r="C10" s="211"/>
      <c r="D10" s="168" t="s">
        <v>202</v>
      </c>
      <c r="E10" s="211">
        <f>E12</f>
        <v>290000</v>
      </c>
      <c r="F10" s="199"/>
    </row>
    <row r="11" spans="1:6" ht="9.75" customHeight="1">
      <c r="A11" s="329"/>
      <c r="B11" s="329"/>
      <c r="C11" s="331"/>
      <c r="D11" s="435" t="s">
        <v>616</v>
      </c>
      <c r="E11" s="331"/>
      <c r="F11" s="329"/>
    </row>
    <row r="12" spans="1:6" ht="14.25" customHeight="1">
      <c r="A12" s="328"/>
      <c r="B12" s="328"/>
      <c r="C12" s="331">
        <v>6300</v>
      </c>
      <c r="D12" s="333" t="s">
        <v>441</v>
      </c>
      <c r="E12" s="331">
        <f>'Z1'!V107</f>
        <v>290000</v>
      </c>
      <c r="F12" s="329"/>
    </row>
    <row r="13" spans="1:6" ht="15" customHeight="1">
      <c r="A13" s="169">
        <v>803</v>
      </c>
      <c r="B13" s="169">
        <v>80309</v>
      </c>
      <c r="C13" s="211"/>
      <c r="D13" s="210" t="s">
        <v>653</v>
      </c>
      <c r="E13" s="199">
        <f>E15+E16</f>
        <v>85061</v>
      </c>
      <c r="F13" s="199">
        <f>F15+F16</f>
        <v>0</v>
      </c>
    </row>
    <row r="14" spans="1:6" ht="11.25" customHeight="1">
      <c r="A14" s="7"/>
      <c r="B14" s="7"/>
      <c r="C14" s="51"/>
      <c r="D14" s="125" t="s">
        <v>616</v>
      </c>
      <c r="E14" s="51"/>
      <c r="F14" s="51"/>
    </row>
    <row r="15" spans="1:6" ht="11.25" customHeight="1">
      <c r="A15" s="17"/>
      <c r="B15" s="17"/>
      <c r="C15" s="51">
        <v>2888</v>
      </c>
      <c r="D15" s="125" t="s">
        <v>441</v>
      </c>
      <c r="E15" s="51">
        <f>'Z1'!V111</f>
        <v>63795</v>
      </c>
      <c r="F15" s="51"/>
    </row>
    <row r="16" spans="1:6" ht="11.25" customHeight="1">
      <c r="A16" s="17"/>
      <c r="B16" s="17"/>
      <c r="C16" s="51">
        <v>2889</v>
      </c>
      <c r="D16" s="125" t="s">
        <v>441</v>
      </c>
      <c r="E16" s="51">
        <f>'Z1'!V112</f>
        <v>21266</v>
      </c>
      <c r="F16" s="51"/>
    </row>
    <row r="17" spans="1:6" ht="11.25" customHeight="1">
      <c r="A17" s="169">
        <v>854</v>
      </c>
      <c r="B17" s="169">
        <v>85415</v>
      </c>
      <c r="C17" s="211"/>
      <c r="D17" s="210" t="s">
        <v>13</v>
      </c>
      <c r="E17" s="199">
        <f>E19+E20</f>
        <v>408160</v>
      </c>
      <c r="F17" s="199">
        <f>F19+F20</f>
        <v>0</v>
      </c>
    </row>
    <row r="18" spans="1:6" ht="11.25" customHeight="1">
      <c r="A18" s="17"/>
      <c r="B18" s="17"/>
      <c r="C18" s="51"/>
      <c r="D18" s="125" t="s">
        <v>616</v>
      </c>
      <c r="E18" s="51"/>
      <c r="F18" s="51"/>
    </row>
    <row r="19" spans="1:6" ht="11.25" customHeight="1">
      <c r="A19" s="17"/>
      <c r="B19" s="17"/>
      <c r="C19" s="51">
        <v>2888</v>
      </c>
      <c r="D19" s="125" t="s">
        <v>441</v>
      </c>
      <c r="E19" s="51">
        <f>'Z1'!V171</f>
        <v>277549</v>
      </c>
      <c r="F19" s="51">
        <v>0</v>
      </c>
    </row>
    <row r="20" spans="1:6" ht="11.25" customHeight="1">
      <c r="A20" s="17"/>
      <c r="B20" s="17"/>
      <c r="C20" s="51">
        <v>2889</v>
      </c>
      <c r="D20" s="125" t="s">
        <v>441</v>
      </c>
      <c r="E20" s="51">
        <f>'Z1'!V172</f>
        <v>130611</v>
      </c>
      <c r="F20" s="51">
        <v>0</v>
      </c>
    </row>
    <row r="21" spans="1:6" ht="16.5" customHeight="1">
      <c r="A21" s="212"/>
      <c r="B21" s="212"/>
      <c r="C21" s="212"/>
      <c r="D21" s="213" t="s">
        <v>44</v>
      </c>
      <c r="E21" s="213">
        <f>E23+E26+E31+E58+E71+E82+E85+E89+E92+E98+E101</f>
        <v>853277</v>
      </c>
      <c r="F21" s="213">
        <f>F23+F26+F31+F55+F58+F71+F82+F85+F89+F92+F98+F101</f>
        <v>409019</v>
      </c>
    </row>
    <row r="22" spans="1:6" ht="15.75" customHeight="1" hidden="1">
      <c r="A22" s="51"/>
      <c r="B22" s="51"/>
      <c r="C22" s="51"/>
      <c r="D22" s="19" t="s">
        <v>214</v>
      </c>
      <c r="E22" s="51">
        <v>0</v>
      </c>
      <c r="F22" s="51">
        <v>0</v>
      </c>
    </row>
    <row r="23" spans="1:6" ht="15.75" customHeight="1">
      <c r="A23" s="198" t="s">
        <v>243</v>
      </c>
      <c r="B23" s="198" t="s">
        <v>748</v>
      </c>
      <c r="C23" s="199">
        <v>2310</v>
      </c>
      <c r="D23" s="168" t="s">
        <v>344</v>
      </c>
      <c r="E23" s="199">
        <f>E25</f>
        <v>0</v>
      </c>
      <c r="F23" s="199">
        <f>F25</f>
        <v>1700</v>
      </c>
    </row>
    <row r="24" spans="1:6" ht="12.75" customHeight="1">
      <c r="A24" s="51"/>
      <c r="B24" s="51"/>
      <c r="C24" s="51"/>
      <c r="D24" s="19" t="s">
        <v>616</v>
      </c>
      <c r="E24" s="51"/>
      <c r="F24" s="51"/>
    </row>
    <row r="25" spans="1:6" ht="15.75" customHeight="1">
      <c r="A25" s="51"/>
      <c r="B25" s="51"/>
      <c r="C25" s="51">
        <v>2310</v>
      </c>
      <c r="D25" s="19" t="s">
        <v>160</v>
      </c>
      <c r="E25" s="51">
        <v>0</v>
      </c>
      <c r="F25" s="51">
        <f>'Z 2'!Q30</f>
        <v>1700</v>
      </c>
    </row>
    <row r="26" spans="1:6" ht="25.5" customHeight="1">
      <c r="A26" s="200">
        <v>754</v>
      </c>
      <c r="B26" s="200">
        <v>75411</v>
      </c>
      <c r="C26" s="200">
        <v>2310</v>
      </c>
      <c r="D26" s="204" t="s">
        <v>0</v>
      </c>
      <c r="E26" s="200">
        <f>E28+E29+E30</f>
        <v>1000</v>
      </c>
      <c r="F26" s="200">
        <f>F28+F29+F30</f>
        <v>0</v>
      </c>
    </row>
    <row r="27" spans="1:6" ht="15.75" customHeight="1">
      <c r="A27" s="51"/>
      <c r="B27" s="51"/>
      <c r="C27" s="51"/>
      <c r="D27" s="19" t="s">
        <v>616</v>
      </c>
      <c r="E27" s="51"/>
      <c r="F27" s="51"/>
    </row>
    <row r="28" spans="1:6" ht="15.75" customHeight="1">
      <c r="A28" s="51"/>
      <c r="B28" s="51"/>
      <c r="C28" s="51"/>
      <c r="D28" s="19" t="s">
        <v>157</v>
      </c>
      <c r="E28" s="51">
        <v>1000</v>
      </c>
      <c r="F28" s="51">
        <v>0</v>
      </c>
    </row>
    <row r="29" spans="1:6" ht="15.75" customHeight="1">
      <c r="A29" s="51"/>
      <c r="B29" s="51"/>
      <c r="C29" s="51"/>
      <c r="D29" s="19" t="s">
        <v>161</v>
      </c>
      <c r="E29" s="51">
        <v>0</v>
      </c>
      <c r="F29" s="51">
        <v>0</v>
      </c>
    </row>
    <row r="30" spans="1:6" ht="15.75" customHeight="1">
      <c r="A30" s="51"/>
      <c r="B30" s="51"/>
      <c r="C30" s="51"/>
      <c r="D30" s="19" t="s">
        <v>158</v>
      </c>
      <c r="E30" s="51">
        <v>0</v>
      </c>
      <c r="F30" s="51">
        <v>0</v>
      </c>
    </row>
    <row r="31" spans="1:6" ht="13.5" customHeight="1">
      <c r="A31" s="199">
        <v>600</v>
      </c>
      <c r="B31" s="199">
        <v>60014</v>
      </c>
      <c r="C31" s="199">
        <v>6610</v>
      </c>
      <c r="D31" s="199" t="s">
        <v>211</v>
      </c>
      <c r="E31" s="199">
        <f>E33+E35+E34</f>
        <v>170000</v>
      </c>
      <c r="F31" s="199">
        <f>F33+F35+F34</f>
        <v>0</v>
      </c>
    </row>
    <row r="32" spans="1:6" ht="12" customHeight="1">
      <c r="A32" s="51"/>
      <c r="B32" s="51"/>
      <c r="C32" s="51"/>
      <c r="D32" s="139" t="s">
        <v>616</v>
      </c>
      <c r="E32" s="51"/>
      <c r="F32" s="51"/>
    </row>
    <row r="33" spans="1:6" ht="15" customHeight="1">
      <c r="A33" s="19"/>
      <c r="B33" s="19"/>
      <c r="C33" s="51">
        <v>6610</v>
      </c>
      <c r="D33" s="19" t="s">
        <v>159</v>
      </c>
      <c r="E33" s="51">
        <v>50000</v>
      </c>
      <c r="F33" s="51">
        <v>0</v>
      </c>
    </row>
    <row r="34" spans="1:6" ht="15" customHeight="1">
      <c r="A34" s="19"/>
      <c r="B34" s="19"/>
      <c r="C34" s="51">
        <v>6610</v>
      </c>
      <c r="D34" s="19" t="s">
        <v>162</v>
      </c>
      <c r="E34" s="51">
        <v>100000</v>
      </c>
      <c r="F34" s="51">
        <v>0</v>
      </c>
    </row>
    <row r="35" spans="1:6" ht="15" customHeight="1">
      <c r="A35" s="19"/>
      <c r="B35" s="19"/>
      <c r="C35" s="51">
        <v>6610</v>
      </c>
      <c r="D35" s="19" t="s">
        <v>160</v>
      </c>
      <c r="E35" s="51">
        <v>20000</v>
      </c>
      <c r="F35" s="51">
        <v>0</v>
      </c>
    </row>
    <row r="36" spans="1:6" ht="15" customHeight="1" hidden="1">
      <c r="A36" s="47">
        <v>600</v>
      </c>
      <c r="B36" s="47">
        <v>60014</v>
      </c>
      <c r="C36" s="13">
        <v>663</v>
      </c>
      <c r="D36" s="13" t="s">
        <v>211</v>
      </c>
      <c r="E36" s="13">
        <f>E38</f>
        <v>0</v>
      </c>
      <c r="F36" s="13">
        <f>F38</f>
        <v>0</v>
      </c>
    </row>
    <row r="37" spans="1:6" ht="12" customHeight="1" hidden="1">
      <c r="A37" s="19"/>
      <c r="B37" s="19"/>
      <c r="C37" s="51"/>
      <c r="D37" s="139" t="s">
        <v>616</v>
      </c>
      <c r="E37" s="51"/>
      <c r="F37" s="51"/>
    </row>
    <row r="38" spans="1:6" ht="15" customHeight="1" hidden="1">
      <c r="A38" s="19"/>
      <c r="B38" s="19"/>
      <c r="C38" s="51"/>
      <c r="D38" s="19" t="s">
        <v>229</v>
      </c>
      <c r="E38" s="51">
        <v>0</v>
      </c>
      <c r="F38" s="51">
        <v>0</v>
      </c>
    </row>
    <row r="39" spans="1:6" ht="15" customHeight="1" hidden="1">
      <c r="A39" s="47">
        <v>851</v>
      </c>
      <c r="B39" s="47">
        <v>85111</v>
      </c>
      <c r="C39" s="13">
        <v>231</v>
      </c>
      <c r="D39" s="47" t="s">
        <v>474</v>
      </c>
      <c r="E39" s="13">
        <f>E41+E42</f>
        <v>124000</v>
      </c>
      <c r="F39" s="13">
        <f>F41</f>
        <v>0</v>
      </c>
    </row>
    <row r="40" spans="1:6" ht="9.75" customHeight="1" hidden="1">
      <c r="A40" s="19"/>
      <c r="B40" s="19"/>
      <c r="C40" s="51"/>
      <c r="D40" s="139" t="s">
        <v>616</v>
      </c>
      <c r="E40" s="51"/>
      <c r="F40" s="51"/>
    </row>
    <row r="41" spans="1:6" ht="15" customHeight="1" hidden="1">
      <c r="A41" s="19"/>
      <c r="B41" s="19"/>
      <c r="C41" s="51"/>
      <c r="D41" s="19" t="s">
        <v>213</v>
      </c>
      <c r="E41" s="51">
        <v>100000</v>
      </c>
      <c r="F41" s="51">
        <v>0</v>
      </c>
    </row>
    <row r="42" spans="1:6" ht="15" customHeight="1" hidden="1">
      <c r="A42" s="19"/>
      <c r="B42" s="19"/>
      <c r="C42" s="51"/>
      <c r="D42" s="19" t="s">
        <v>212</v>
      </c>
      <c r="E42" s="51">
        <v>24000</v>
      </c>
      <c r="F42" s="51">
        <v>0</v>
      </c>
    </row>
    <row r="43" spans="1:6" ht="15" customHeight="1" hidden="1">
      <c r="A43" s="47">
        <v>600</v>
      </c>
      <c r="B43" s="47">
        <v>60014</v>
      </c>
      <c r="C43" s="13">
        <v>6610</v>
      </c>
      <c r="D43" s="13" t="s">
        <v>211</v>
      </c>
      <c r="E43" s="51">
        <f>E45</f>
        <v>0</v>
      </c>
      <c r="F43" s="13">
        <f>F45</f>
        <v>0</v>
      </c>
    </row>
    <row r="44" spans="1:6" ht="11.25" customHeight="1" hidden="1">
      <c r="A44" s="19"/>
      <c r="B44" s="19"/>
      <c r="C44" s="51"/>
      <c r="D44" s="139" t="s">
        <v>616</v>
      </c>
      <c r="E44" s="51"/>
      <c r="F44" s="51"/>
    </row>
    <row r="45" spans="1:6" ht="15" customHeight="1" hidden="1">
      <c r="A45" s="19"/>
      <c r="B45" s="19"/>
      <c r="C45" s="51"/>
      <c r="D45" s="19" t="s">
        <v>213</v>
      </c>
      <c r="E45" s="51">
        <v>0</v>
      </c>
      <c r="F45" s="51">
        <v>0</v>
      </c>
    </row>
    <row r="46" spans="1:6" ht="15.75" customHeight="1" hidden="1">
      <c r="A46" s="13">
        <v>630</v>
      </c>
      <c r="B46" s="13">
        <v>63001</v>
      </c>
      <c r="C46" s="13">
        <v>6620</v>
      </c>
      <c r="D46" s="13" t="s">
        <v>196</v>
      </c>
      <c r="E46" s="13">
        <f>E48</f>
        <v>0</v>
      </c>
      <c r="F46" s="13">
        <v>0</v>
      </c>
    </row>
    <row r="47" spans="1:6" ht="12" customHeight="1" hidden="1">
      <c r="A47" s="51"/>
      <c r="B47" s="51"/>
      <c r="C47" s="51"/>
      <c r="D47" s="139" t="s">
        <v>616</v>
      </c>
      <c r="E47" s="51"/>
      <c r="F47" s="51">
        <v>0</v>
      </c>
    </row>
    <row r="48" spans="1:6" ht="26.25" customHeight="1" hidden="1">
      <c r="A48" s="51"/>
      <c r="B48" s="51"/>
      <c r="C48" s="51"/>
      <c r="D48" s="97" t="s">
        <v>198</v>
      </c>
      <c r="E48" s="51">
        <v>0</v>
      </c>
      <c r="F48" s="51">
        <v>0</v>
      </c>
    </row>
    <row r="49" spans="1:6" ht="17.25" customHeight="1" hidden="1">
      <c r="A49" s="13">
        <v>630</v>
      </c>
      <c r="B49" s="13">
        <v>63001</v>
      </c>
      <c r="C49" s="13">
        <v>6610</v>
      </c>
      <c r="D49" s="13" t="s">
        <v>196</v>
      </c>
      <c r="E49" s="51">
        <v>0</v>
      </c>
      <c r="F49" s="13">
        <f>F51</f>
        <v>0</v>
      </c>
    </row>
    <row r="50" spans="1:6" ht="10.5" customHeight="1" hidden="1">
      <c r="A50" s="51"/>
      <c r="B50" s="51"/>
      <c r="C50" s="51"/>
      <c r="D50" s="139" t="s">
        <v>616</v>
      </c>
      <c r="E50" s="51">
        <v>0</v>
      </c>
      <c r="F50" s="51"/>
    </row>
    <row r="51" spans="1:6" ht="15.75" customHeight="1" hidden="1">
      <c r="A51" s="51"/>
      <c r="B51" s="51"/>
      <c r="C51" s="51"/>
      <c r="D51" s="97" t="s">
        <v>213</v>
      </c>
      <c r="E51" s="51">
        <v>0</v>
      </c>
      <c r="F51" s="51">
        <v>0</v>
      </c>
    </row>
    <row r="52" spans="1:6" ht="15.75" customHeight="1" hidden="1">
      <c r="A52" s="23" t="s">
        <v>243</v>
      </c>
      <c r="B52" s="23" t="s">
        <v>748</v>
      </c>
      <c r="C52" s="13">
        <v>2310</v>
      </c>
      <c r="D52" s="49" t="s">
        <v>344</v>
      </c>
      <c r="E52" s="13">
        <v>0</v>
      </c>
      <c r="F52" s="13">
        <f>F54</f>
        <v>0</v>
      </c>
    </row>
    <row r="53" spans="1:6" ht="11.25" customHeight="1" hidden="1">
      <c r="A53" s="31"/>
      <c r="B53" s="31"/>
      <c r="C53" s="51"/>
      <c r="D53" s="138" t="s">
        <v>616</v>
      </c>
      <c r="E53" s="51">
        <v>0</v>
      </c>
      <c r="F53" s="51"/>
    </row>
    <row r="54" spans="1:6" ht="15.75" customHeight="1" hidden="1">
      <c r="A54" s="31"/>
      <c r="B54" s="31"/>
      <c r="C54" s="51"/>
      <c r="D54" s="97" t="s">
        <v>177</v>
      </c>
      <c r="E54" s="51">
        <v>0</v>
      </c>
      <c r="F54" s="51">
        <v>0</v>
      </c>
    </row>
    <row r="55" spans="1:6" ht="27" customHeight="1">
      <c r="A55" s="167">
        <v>801</v>
      </c>
      <c r="B55" s="167">
        <v>80146</v>
      </c>
      <c r="C55" s="199">
        <v>2320</v>
      </c>
      <c r="D55" s="204" t="s">
        <v>617</v>
      </c>
      <c r="E55" s="199">
        <f>E57</f>
        <v>0</v>
      </c>
      <c r="F55" s="199">
        <f>F57</f>
        <v>12000</v>
      </c>
    </row>
    <row r="56" spans="1:6" ht="10.5" customHeight="1">
      <c r="A56" s="3"/>
      <c r="B56" s="3"/>
      <c r="C56" s="3"/>
      <c r="D56" s="139" t="s">
        <v>616</v>
      </c>
      <c r="E56" s="3"/>
      <c r="F56" s="3"/>
    </row>
    <row r="57" spans="1:6" ht="15" customHeight="1">
      <c r="A57" s="3"/>
      <c r="B57" s="3"/>
      <c r="C57" s="3">
        <v>2320</v>
      </c>
      <c r="D57" s="15" t="s">
        <v>163</v>
      </c>
      <c r="E57" s="3">
        <v>0</v>
      </c>
      <c r="F57" s="3">
        <f>'Z 2'!Q278</f>
        <v>12000</v>
      </c>
    </row>
    <row r="58" spans="1:6" ht="24" customHeight="1">
      <c r="A58" s="199">
        <v>852</v>
      </c>
      <c r="B58" s="167">
        <v>85201</v>
      </c>
      <c r="C58" s="199">
        <v>2320</v>
      </c>
      <c r="D58" s="209" t="s">
        <v>351</v>
      </c>
      <c r="E58" s="199">
        <f>E60+E61+E62+E63+E68+E69+E70</f>
        <v>206104</v>
      </c>
      <c r="F58" s="199">
        <f>F60+F61+F62+F63</f>
        <v>318191</v>
      </c>
    </row>
    <row r="59" spans="1:6" ht="10.5" customHeight="1">
      <c r="A59" s="3"/>
      <c r="B59" s="3"/>
      <c r="C59" s="3"/>
      <c r="D59" s="140" t="s">
        <v>616</v>
      </c>
      <c r="E59" s="3"/>
      <c r="F59" s="3"/>
    </row>
    <row r="60" spans="1:6" ht="15" customHeight="1">
      <c r="A60" s="3"/>
      <c r="B60" s="3"/>
      <c r="C60" s="3">
        <v>2320</v>
      </c>
      <c r="D60" s="28" t="s">
        <v>78</v>
      </c>
      <c r="E60" s="3">
        <v>3141</v>
      </c>
      <c r="F60" s="3">
        <v>71952</v>
      </c>
    </row>
    <row r="61" spans="1:6" ht="18" customHeight="1">
      <c r="A61" s="3"/>
      <c r="B61" s="3"/>
      <c r="C61" s="3">
        <v>2320</v>
      </c>
      <c r="D61" s="28" t="s">
        <v>79</v>
      </c>
      <c r="E61" s="3">
        <v>0</v>
      </c>
      <c r="F61" s="3">
        <v>31944</v>
      </c>
    </row>
    <row r="62" spans="1:6" ht="21" customHeight="1">
      <c r="A62" s="3"/>
      <c r="B62" s="3"/>
      <c r="C62" s="3">
        <v>2320</v>
      </c>
      <c r="D62" s="28" t="s">
        <v>80</v>
      </c>
      <c r="E62" s="3">
        <v>0</v>
      </c>
      <c r="F62" s="3">
        <v>94428</v>
      </c>
    </row>
    <row r="63" spans="1:6" ht="15" customHeight="1">
      <c r="A63" s="3"/>
      <c r="B63" s="3"/>
      <c r="C63" s="3">
        <v>2320</v>
      </c>
      <c r="D63" s="15" t="s">
        <v>81</v>
      </c>
      <c r="E63" s="3">
        <v>108247</v>
      </c>
      <c r="F63" s="3">
        <v>119867</v>
      </c>
    </row>
    <row r="64" spans="1:6" ht="25.5" customHeight="1" hidden="1">
      <c r="A64" s="7">
        <v>854</v>
      </c>
      <c r="B64" s="7">
        <v>85417</v>
      </c>
      <c r="C64" s="13">
        <v>2310</v>
      </c>
      <c r="D64" s="4" t="s">
        <v>618</v>
      </c>
      <c r="E64" s="13">
        <v>0</v>
      </c>
      <c r="F64" s="13">
        <f>F66+F67</f>
        <v>0</v>
      </c>
    </row>
    <row r="65" spans="1:6" ht="7.5" customHeight="1" hidden="1">
      <c r="A65" s="8"/>
      <c r="B65" s="8"/>
      <c r="C65" s="3"/>
      <c r="D65" s="129" t="s">
        <v>616</v>
      </c>
      <c r="E65" s="3"/>
      <c r="F65" s="3"/>
    </row>
    <row r="66" spans="1:6" ht="18" customHeight="1" hidden="1">
      <c r="A66" s="8"/>
      <c r="B66" s="8"/>
      <c r="C66" s="3"/>
      <c r="D66" s="52" t="s">
        <v>619</v>
      </c>
      <c r="E66" s="3">
        <v>0</v>
      </c>
      <c r="F66" s="3">
        <v>0</v>
      </c>
    </row>
    <row r="67" spans="1:6" ht="15" customHeight="1" hidden="1">
      <c r="A67" s="8"/>
      <c r="B67" s="8"/>
      <c r="C67" s="3"/>
      <c r="D67" s="52" t="s">
        <v>620</v>
      </c>
      <c r="E67" s="3">
        <v>0</v>
      </c>
      <c r="F67" s="3">
        <v>0</v>
      </c>
    </row>
    <row r="68" spans="1:6" ht="15" customHeight="1">
      <c r="A68" s="8"/>
      <c r="B68" s="8"/>
      <c r="C68" s="3">
        <v>2320</v>
      </c>
      <c r="D68" s="52" t="s">
        <v>83</v>
      </c>
      <c r="E68" s="3">
        <v>40592</v>
      </c>
      <c r="F68" s="3"/>
    </row>
    <row r="69" spans="1:6" ht="15" customHeight="1">
      <c r="A69" s="8"/>
      <c r="B69" s="8"/>
      <c r="C69" s="3">
        <v>2320</v>
      </c>
      <c r="D69" s="52" t="s">
        <v>84</v>
      </c>
      <c r="E69" s="3">
        <v>27062</v>
      </c>
      <c r="F69" s="3"/>
    </row>
    <row r="70" spans="1:6" ht="15" customHeight="1">
      <c r="A70" s="8"/>
      <c r="B70" s="8"/>
      <c r="C70" s="3">
        <v>2320</v>
      </c>
      <c r="D70" s="52" t="s">
        <v>82</v>
      </c>
      <c r="E70" s="3">
        <v>27062</v>
      </c>
      <c r="F70" s="3">
        <v>0</v>
      </c>
    </row>
    <row r="71" spans="1:7" ht="15" customHeight="1">
      <c r="A71" s="169">
        <v>852</v>
      </c>
      <c r="B71" s="169">
        <v>85204</v>
      </c>
      <c r="C71" s="199"/>
      <c r="D71" s="210" t="s">
        <v>615</v>
      </c>
      <c r="E71" s="199">
        <f>E73+E74+E75+E76+E77</f>
        <v>64585</v>
      </c>
      <c r="F71" s="199">
        <f>F73+F74+F75+F76+F77</f>
        <v>29248</v>
      </c>
      <c r="G71" s="33"/>
    </row>
    <row r="72" spans="1:6" ht="11.25" customHeight="1">
      <c r="A72" s="8"/>
      <c r="B72" s="8"/>
      <c r="C72" s="3"/>
      <c r="D72" s="52" t="s">
        <v>616</v>
      </c>
      <c r="E72" s="3"/>
      <c r="F72" s="3"/>
    </row>
    <row r="73" spans="1:6" ht="15" customHeight="1">
      <c r="A73" s="8"/>
      <c r="B73" s="8"/>
      <c r="C73" s="3">
        <v>2310</v>
      </c>
      <c r="D73" s="52" t="s">
        <v>167</v>
      </c>
      <c r="E73" s="3">
        <v>0</v>
      </c>
      <c r="F73" s="3">
        <v>14324</v>
      </c>
    </row>
    <row r="74" spans="1:6" ht="15" customHeight="1">
      <c r="A74" s="8"/>
      <c r="B74" s="8"/>
      <c r="C74" s="3">
        <v>2320</v>
      </c>
      <c r="D74" s="52" t="s">
        <v>316</v>
      </c>
      <c r="E74" s="3">
        <v>0</v>
      </c>
      <c r="F74" s="3">
        <v>659</v>
      </c>
    </row>
    <row r="75" spans="1:6" ht="14.25" customHeight="1">
      <c r="A75" s="8"/>
      <c r="B75" s="8"/>
      <c r="C75" s="3">
        <v>2320</v>
      </c>
      <c r="D75" s="52" t="s">
        <v>168</v>
      </c>
      <c r="E75" s="3">
        <v>23342</v>
      </c>
      <c r="F75" s="3">
        <v>7781</v>
      </c>
    </row>
    <row r="76" spans="1:6" ht="14.25" customHeight="1">
      <c r="A76" s="8"/>
      <c r="B76" s="8"/>
      <c r="C76" s="3">
        <v>2320</v>
      </c>
      <c r="D76" s="52" t="s">
        <v>75</v>
      </c>
      <c r="E76" s="3">
        <v>4284</v>
      </c>
      <c r="F76" s="3">
        <v>0</v>
      </c>
    </row>
    <row r="77" spans="1:6" ht="15" customHeight="1">
      <c r="A77" s="8"/>
      <c r="B77" s="8"/>
      <c r="C77" s="3">
        <v>2320</v>
      </c>
      <c r="D77" s="52" t="s">
        <v>169</v>
      </c>
      <c r="E77" s="3">
        <v>36959</v>
      </c>
      <c r="F77" s="3">
        <v>6484</v>
      </c>
    </row>
    <row r="78" spans="1:6" ht="12" customHeight="1" hidden="1">
      <c r="A78" s="8"/>
      <c r="B78" s="8"/>
      <c r="C78" s="3"/>
      <c r="D78" s="52" t="s">
        <v>621</v>
      </c>
      <c r="E78" s="3">
        <v>0</v>
      </c>
      <c r="F78" s="3">
        <v>0</v>
      </c>
    </row>
    <row r="79" spans="1:6" ht="15" customHeight="1" hidden="1">
      <c r="A79" s="7">
        <v>750</v>
      </c>
      <c r="B79" s="7">
        <v>75018</v>
      </c>
      <c r="C79" s="13">
        <v>2330</v>
      </c>
      <c r="D79" s="53" t="s">
        <v>178</v>
      </c>
      <c r="E79" s="13">
        <v>0</v>
      </c>
      <c r="F79" s="13">
        <f>F81</f>
        <v>0</v>
      </c>
    </row>
    <row r="80" spans="1:6" ht="10.5" customHeight="1" hidden="1">
      <c r="A80" s="17"/>
      <c r="B80" s="17"/>
      <c r="C80" s="51"/>
      <c r="D80" s="141" t="s">
        <v>616</v>
      </c>
      <c r="E80" s="51"/>
      <c r="F80" s="51"/>
    </row>
    <row r="81" spans="1:6" ht="24.75" customHeight="1" hidden="1">
      <c r="A81" s="17"/>
      <c r="B81" s="17"/>
      <c r="C81" s="51"/>
      <c r="D81" s="125" t="s">
        <v>184</v>
      </c>
      <c r="E81" s="51">
        <v>0</v>
      </c>
      <c r="F81" s="51">
        <v>0</v>
      </c>
    </row>
    <row r="82" spans="1:6" ht="24.75" customHeight="1">
      <c r="A82" s="169">
        <v>750</v>
      </c>
      <c r="B82" s="169">
        <v>75018</v>
      </c>
      <c r="C82" s="199">
        <v>2330</v>
      </c>
      <c r="D82" s="210" t="s">
        <v>178</v>
      </c>
      <c r="E82" s="199">
        <f>E84</f>
        <v>0</v>
      </c>
      <c r="F82" s="199">
        <f>F84</f>
        <v>3380</v>
      </c>
    </row>
    <row r="83" spans="1:6" ht="13.5" customHeight="1">
      <c r="A83" s="17"/>
      <c r="B83" s="17"/>
      <c r="C83" s="51"/>
      <c r="D83" s="125" t="s">
        <v>616</v>
      </c>
      <c r="E83" s="51"/>
      <c r="F83" s="51"/>
    </row>
    <row r="84" spans="1:6" ht="22.5" customHeight="1">
      <c r="A84" s="17"/>
      <c r="B84" s="17"/>
      <c r="C84" s="51"/>
      <c r="D84" s="125" t="s">
        <v>171</v>
      </c>
      <c r="E84" s="51">
        <v>0</v>
      </c>
      <c r="F84" s="51">
        <f>'Z 2'!Q99</f>
        <v>3380</v>
      </c>
    </row>
    <row r="85" spans="1:6" ht="21.75" customHeight="1">
      <c r="A85" s="169">
        <v>750</v>
      </c>
      <c r="B85" s="169">
        <v>75020</v>
      </c>
      <c r="C85" s="199">
        <v>2310</v>
      </c>
      <c r="D85" s="210" t="s">
        <v>339</v>
      </c>
      <c r="E85" s="199">
        <f>E87+E88</f>
        <v>0</v>
      </c>
      <c r="F85" s="199">
        <f>F87+F88</f>
        <v>10000</v>
      </c>
    </row>
    <row r="86" spans="1:6" ht="12" customHeight="1">
      <c r="A86" s="17"/>
      <c r="B86" s="17"/>
      <c r="C86" s="51"/>
      <c r="D86" s="125" t="s">
        <v>616</v>
      </c>
      <c r="E86" s="51"/>
      <c r="F86" s="51"/>
    </row>
    <row r="87" spans="1:6" ht="15.75" customHeight="1">
      <c r="A87" s="17"/>
      <c r="B87" s="17"/>
      <c r="C87" s="51">
        <v>2310</v>
      </c>
      <c r="D87" s="125" t="s">
        <v>164</v>
      </c>
      <c r="E87" s="51">
        <v>0</v>
      </c>
      <c r="F87" s="51">
        <v>5000</v>
      </c>
    </row>
    <row r="88" spans="1:6" ht="15.75" customHeight="1">
      <c r="A88" s="17"/>
      <c r="B88" s="17"/>
      <c r="C88" s="51">
        <v>2310</v>
      </c>
      <c r="D88" s="125" t="s">
        <v>76</v>
      </c>
      <c r="E88" s="51">
        <v>0</v>
      </c>
      <c r="F88" s="51">
        <v>5000</v>
      </c>
    </row>
    <row r="89" spans="1:6" ht="24" customHeight="1">
      <c r="A89" s="169">
        <v>750</v>
      </c>
      <c r="B89" s="169">
        <v>75075</v>
      </c>
      <c r="C89" s="199">
        <v>2310</v>
      </c>
      <c r="D89" s="197" t="s">
        <v>538</v>
      </c>
      <c r="E89" s="199">
        <f>E91</f>
        <v>0</v>
      </c>
      <c r="F89" s="199">
        <f>F91</f>
        <v>0</v>
      </c>
    </row>
    <row r="90" spans="1:6" ht="10.5" customHeight="1">
      <c r="A90" s="17"/>
      <c r="B90" s="17"/>
      <c r="C90" s="51"/>
      <c r="D90" s="125" t="s">
        <v>616</v>
      </c>
      <c r="E90" s="51"/>
      <c r="F90" s="51"/>
    </row>
    <row r="91" spans="1:6" ht="15.75" customHeight="1">
      <c r="A91" s="17"/>
      <c r="B91" s="17"/>
      <c r="C91" s="51">
        <v>2310</v>
      </c>
      <c r="D91" s="125"/>
      <c r="E91" s="51">
        <v>0</v>
      </c>
      <c r="F91" s="51">
        <v>0</v>
      </c>
    </row>
    <row r="92" spans="1:6" ht="15.75" customHeight="1">
      <c r="A92" s="169">
        <v>851</v>
      </c>
      <c r="B92" s="169">
        <v>85111</v>
      </c>
      <c r="C92" s="199">
        <v>6619</v>
      </c>
      <c r="D92" s="210" t="s">
        <v>474</v>
      </c>
      <c r="E92" s="199">
        <f>E94+E95+E96+E97</f>
        <v>411588</v>
      </c>
      <c r="F92" s="199">
        <f>F94+F95+F97</f>
        <v>0</v>
      </c>
    </row>
    <row r="93" spans="1:6" ht="12" customHeight="1">
      <c r="A93" s="17"/>
      <c r="B93" s="17"/>
      <c r="C93" s="51"/>
      <c r="D93" s="125" t="s">
        <v>616</v>
      </c>
      <c r="E93" s="51"/>
      <c r="F93" s="51"/>
    </row>
    <row r="94" spans="1:6" ht="15.75" customHeight="1">
      <c r="A94" s="17"/>
      <c r="B94" s="17"/>
      <c r="C94" s="51">
        <v>6619</v>
      </c>
      <c r="D94" s="125" t="s">
        <v>170</v>
      </c>
      <c r="E94" s="51">
        <v>318892</v>
      </c>
      <c r="F94" s="51">
        <v>0</v>
      </c>
    </row>
    <row r="95" spans="1:6" ht="15.75" customHeight="1">
      <c r="A95" s="17"/>
      <c r="B95" s="17"/>
      <c r="C95" s="51">
        <v>6619</v>
      </c>
      <c r="D95" s="125" t="s">
        <v>164</v>
      </c>
      <c r="E95" s="51">
        <v>44690</v>
      </c>
      <c r="F95" s="51">
        <v>0</v>
      </c>
    </row>
    <row r="96" spans="1:6" ht="15.75" customHeight="1">
      <c r="A96" s="17"/>
      <c r="B96" s="17"/>
      <c r="C96" s="51">
        <v>6619</v>
      </c>
      <c r="D96" s="125" t="s">
        <v>77</v>
      </c>
      <c r="E96" s="51">
        <v>18003</v>
      </c>
      <c r="F96" s="51"/>
    </row>
    <row r="97" spans="1:6" ht="15.75" customHeight="1">
      <c r="A97" s="17"/>
      <c r="B97" s="17"/>
      <c r="C97" s="51">
        <v>6619</v>
      </c>
      <c r="D97" s="125" t="s">
        <v>165</v>
      </c>
      <c r="E97" s="51">
        <v>30003</v>
      </c>
      <c r="F97" s="51">
        <v>0</v>
      </c>
    </row>
    <row r="98" spans="1:6" ht="15.75" customHeight="1">
      <c r="A98" s="169">
        <v>854</v>
      </c>
      <c r="B98" s="169">
        <v>85417</v>
      </c>
      <c r="C98" s="199">
        <v>2310</v>
      </c>
      <c r="D98" s="210" t="s">
        <v>172</v>
      </c>
      <c r="E98" s="199">
        <f>E100</f>
        <v>0</v>
      </c>
      <c r="F98" s="199">
        <f>F100</f>
        <v>1500</v>
      </c>
    </row>
    <row r="99" spans="1:6" ht="13.5" customHeight="1">
      <c r="A99" s="17"/>
      <c r="B99" s="17"/>
      <c r="C99" s="51"/>
      <c r="D99" s="125" t="s">
        <v>616</v>
      </c>
      <c r="E99" s="51"/>
      <c r="F99" s="51"/>
    </row>
    <row r="100" spans="1:6" ht="15.75" customHeight="1">
      <c r="A100" s="17"/>
      <c r="B100" s="17"/>
      <c r="C100" s="51">
        <v>2310</v>
      </c>
      <c r="D100" s="125" t="s">
        <v>165</v>
      </c>
      <c r="E100" s="51">
        <v>0</v>
      </c>
      <c r="F100" s="51">
        <f>'Z 2'!Q481</f>
        <v>1500</v>
      </c>
    </row>
    <row r="101" spans="1:6" ht="27.75" customHeight="1">
      <c r="A101" s="169">
        <v>921</v>
      </c>
      <c r="B101" s="169">
        <v>92116</v>
      </c>
      <c r="C101" s="199">
        <v>2310</v>
      </c>
      <c r="D101" s="210" t="s">
        <v>622</v>
      </c>
      <c r="E101" s="199">
        <v>0</v>
      </c>
      <c r="F101" s="199">
        <f>F103</f>
        <v>33000</v>
      </c>
    </row>
    <row r="102" spans="1:6" ht="11.25" customHeight="1">
      <c r="A102" s="8"/>
      <c r="B102" s="8"/>
      <c r="C102" s="3"/>
      <c r="D102" s="142" t="s">
        <v>616</v>
      </c>
      <c r="E102" s="3"/>
      <c r="F102" s="3"/>
    </row>
    <row r="103" spans="1:6" ht="15" customHeight="1" thickBot="1">
      <c r="A103" s="8"/>
      <c r="B103" s="8"/>
      <c r="C103" s="3">
        <v>2310</v>
      </c>
      <c r="D103" s="52" t="s">
        <v>166</v>
      </c>
      <c r="E103" s="3">
        <v>0</v>
      </c>
      <c r="F103" s="3">
        <f>'Z 2'!Q489</f>
        <v>33000</v>
      </c>
    </row>
    <row r="104" spans="1:6" ht="15" customHeight="1" hidden="1">
      <c r="A104" s="7">
        <v>921</v>
      </c>
      <c r="B104" s="7">
        <v>92195</v>
      </c>
      <c r="C104" s="13">
        <v>2310</v>
      </c>
      <c r="D104" s="53" t="s">
        <v>344</v>
      </c>
      <c r="E104" s="13">
        <f>E106</f>
        <v>0</v>
      </c>
      <c r="F104" s="13">
        <f>F106</f>
        <v>0</v>
      </c>
    </row>
    <row r="105" spans="1:6" ht="10.5" customHeight="1" hidden="1">
      <c r="A105" s="8"/>
      <c r="B105" s="8"/>
      <c r="C105" s="3"/>
      <c r="D105" s="141" t="s">
        <v>616</v>
      </c>
      <c r="E105" s="3"/>
      <c r="F105" s="3"/>
    </row>
    <row r="106" spans="1:6" ht="15" customHeight="1" hidden="1">
      <c r="A106" s="65"/>
      <c r="B106" s="65"/>
      <c r="C106" s="40"/>
      <c r="D106" s="437" t="s">
        <v>213</v>
      </c>
      <c r="E106" s="40">
        <v>0</v>
      </c>
      <c r="F106" s="40">
        <v>0</v>
      </c>
    </row>
    <row r="107" spans="1:7" ht="14.25" customHeight="1" thickBot="1">
      <c r="A107" s="438"/>
      <c r="B107" s="439"/>
      <c r="C107" s="440"/>
      <c r="D107" s="441" t="s">
        <v>45</v>
      </c>
      <c r="E107" s="440">
        <f>E6+E21</f>
        <v>1656498</v>
      </c>
      <c r="F107" s="442">
        <f>F6+F21</f>
        <v>409019</v>
      </c>
      <c r="G107" s="93"/>
    </row>
    <row r="108" ht="10.5" customHeight="1" hidden="1"/>
    <row r="109" spans="1:6" ht="15" customHeight="1">
      <c r="A109" s="588" t="s">
        <v>14</v>
      </c>
      <c r="B109" s="588"/>
      <c r="C109" s="588"/>
      <c r="D109" s="588"/>
      <c r="E109" s="588"/>
      <c r="F109" s="588"/>
    </row>
    <row r="110" spans="1:6" ht="15" customHeight="1">
      <c r="A110" s="436"/>
      <c r="B110" s="436"/>
      <c r="C110" s="436"/>
      <c r="D110" s="436" t="s">
        <v>15</v>
      </c>
      <c r="E110" s="436"/>
      <c r="F110" s="436"/>
    </row>
    <row r="111" spans="1:6" ht="13.5" customHeight="1">
      <c r="A111" s="87"/>
      <c r="B111" s="87"/>
      <c r="C111" s="87"/>
      <c r="D111" s="87"/>
      <c r="E111" s="87"/>
      <c r="F111" s="87"/>
    </row>
    <row r="112" spans="1:6" ht="14.25" customHeight="1">
      <c r="A112" s="87"/>
      <c r="B112" s="87"/>
      <c r="C112" s="87"/>
      <c r="D112" s="87"/>
      <c r="E112" s="87"/>
      <c r="F112" s="87"/>
    </row>
    <row r="113" spans="1:6" ht="11.25" customHeight="1">
      <c r="A113" s="87"/>
      <c r="B113" s="87"/>
      <c r="C113" s="87"/>
      <c r="D113" s="87"/>
      <c r="E113" s="87"/>
      <c r="F113" s="87"/>
    </row>
    <row r="114" spans="1:6" ht="12.75" customHeight="1">
      <c r="A114" s="87"/>
      <c r="B114" s="87"/>
      <c r="C114" s="87"/>
      <c r="D114" s="87"/>
      <c r="E114" s="87"/>
      <c r="F114" s="87"/>
    </row>
    <row r="115" spans="1:6" ht="13.5" customHeight="1">
      <c r="A115" s="87"/>
      <c r="B115" s="87"/>
      <c r="C115" s="87"/>
      <c r="D115" s="87"/>
      <c r="E115" s="87"/>
      <c r="F115" s="87"/>
    </row>
    <row r="116" spans="1:6" ht="12.75" customHeight="1">
      <c r="A116" s="87"/>
      <c r="B116" s="87"/>
      <c r="C116" s="87"/>
      <c r="D116" s="87"/>
      <c r="E116" s="87"/>
      <c r="F116" s="87"/>
    </row>
    <row r="117" spans="1:6" ht="18" customHeight="1">
      <c r="A117" s="589"/>
      <c r="B117" s="590"/>
      <c r="C117" s="590"/>
      <c r="D117" s="590"/>
      <c r="E117" s="590"/>
      <c r="F117" s="590"/>
    </row>
    <row r="118" spans="1:6" ht="14.25" customHeight="1">
      <c r="A118" s="87"/>
      <c r="B118" s="87"/>
      <c r="C118" s="87"/>
      <c r="D118" s="87"/>
      <c r="E118" s="87"/>
      <c r="F118" s="87"/>
    </row>
    <row r="119" spans="1:6" ht="14.25" customHeight="1">
      <c r="A119" s="87"/>
      <c r="B119" s="87"/>
      <c r="C119" s="87"/>
      <c r="D119" s="87"/>
      <c r="E119" s="87"/>
      <c r="F119" s="87"/>
    </row>
    <row r="120" spans="1:6" ht="15" customHeight="1">
      <c r="A120" s="33"/>
      <c r="B120" s="87"/>
      <c r="C120" s="87"/>
      <c r="D120" s="87"/>
      <c r="E120" s="87"/>
      <c r="F120" s="87"/>
    </row>
    <row r="121" spans="1:6" ht="13.5" customHeight="1">
      <c r="A121" s="87"/>
      <c r="B121" s="87"/>
      <c r="C121" s="87"/>
      <c r="D121" s="87"/>
      <c r="E121" s="87"/>
      <c r="F121" s="87"/>
    </row>
    <row r="122" spans="1:6" ht="15.75" customHeight="1">
      <c r="A122" s="87"/>
      <c r="B122" s="87"/>
      <c r="C122" s="87"/>
      <c r="D122" s="87"/>
      <c r="E122" s="87"/>
      <c r="F122" s="87"/>
    </row>
    <row r="123" spans="1:6" ht="15.75" customHeight="1">
      <c r="A123" s="87"/>
      <c r="B123" s="87"/>
      <c r="C123" s="87"/>
      <c r="D123" s="87"/>
      <c r="E123" s="87"/>
      <c r="F123" s="87"/>
    </row>
    <row r="124" spans="1:6" ht="15" customHeight="1">
      <c r="A124" s="87"/>
      <c r="B124" s="87"/>
      <c r="C124" s="87"/>
      <c r="D124" s="87"/>
      <c r="E124" s="87"/>
      <c r="F124" s="87"/>
    </row>
    <row r="125" spans="1:6" ht="24.75" customHeight="1">
      <c r="A125" s="591"/>
      <c r="B125" s="591"/>
      <c r="C125" s="591"/>
      <c r="D125" s="591"/>
      <c r="E125" s="591"/>
      <c r="F125" s="591"/>
    </row>
    <row r="126" spans="1:6" ht="54.75" customHeight="1">
      <c r="A126" s="591"/>
      <c r="B126" s="591"/>
      <c r="C126" s="591"/>
      <c r="D126" s="591"/>
      <c r="E126" s="591"/>
      <c r="F126" s="591"/>
    </row>
    <row r="127" spans="1:6" ht="18" customHeight="1" hidden="1">
      <c r="A127" s="87"/>
      <c r="B127" s="87"/>
      <c r="C127" s="87"/>
      <c r="D127" s="87"/>
      <c r="E127" s="87"/>
      <c r="F127" s="87"/>
    </row>
    <row r="128" spans="1:6" ht="15.75" customHeight="1" hidden="1">
      <c r="A128" s="87"/>
      <c r="B128" s="87"/>
      <c r="C128" s="87"/>
      <c r="D128" s="87"/>
      <c r="E128" s="87"/>
      <c r="F128" s="87"/>
    </row>
    <row r="129" spans="1:6" ht="12.75">
      <c r="A129" s="87"/>
      <c r="B129" s="87"/>
      <c r="C129" s="87"/>
      <c r="D129" s="87"/>
      <c r="E129" s="87"/>
      <c r="F129" s="87"/>
    </row>
    <row r="130" spans="1:6" ht="47.25" customHeight="1">
      <c r="A130" s="593"/>
      <c r="B130" s="593"/>
      <c r="C130" s="593"/>
      <c r="D130" s="593"/>
      <c r="E130" s="593"/>
      <c r="F130" s="593"/>
    </row>
    <row r="131" spans="1:6" ht="26.25" customHeight="1">
      <c r="A131" s="591"/>
      <c r="B131" s="591"/>
      <c r="C131" s="591"/>
      <c r="D131" s="591"/>
      <c r="E131" s="591"/>
      <c r="F131" s="591"/>
    </row>
    <row r="132" spans="1:6" ht="16.5" customHeight="1">
      <c r="A132" s="33"/>
      <c r="B132" s="87"/>
      <c r="C132" s="87"/>
      <c r="D132" s="87"/>
      <c r="E132" s="87"/>
      <c r="F132" s="87"/>
    </row>
    <row r="133" spans="1:6" ht="15" customHeight="1">
      <c r="A133" s="591"/>
      <c r="B133" s="591"/>
      <c r="C133" s="591"/>
      <c r="D133" s="591"/>
      <c r="E133" s="591"/>
      <c r="F133" s="591"/>
    </row>
    <row r="134" spans="1:6" ht="37.5" customHeight="1">
      <c r="A134" s="591"/>
      <c r="B134" s="591"/>
      <c r="C134" s="591"/>
      <c r="D134" s="591"/>
      <c r="E134" s="591"/>
      <c r="F134" s="591"/>
    </row>
    <row r="135" spans="1:6" ht="27.75" customHeight="1">
      <c r="A135" s="591"/>
      <c r="B135" s="591"/>
      <c r="C135" s="591"/>
      <c r="D135" s="591"/>
      <c r="E135" s="591"/>
      <c r="F135" s="591"/>
    </row>
    <row r="136" spans="1:6" ht="27.75" customHeight="1">
      <c r="A136" s="591"/>
      <c r="B136" s="591"/>
      <c r="C136" s="591"/>
      <c r="D136" s="591"/>
      <c r="E136" s="591"/>
      <c r="F136" s="591"/>
    </row>
    <row r="137" spans="1:6" ht="12.75">
      <c r="A137" s="589"/>
      <c r="B137" s="590"/>
      <c r="C137" s="590"/>
      <c r="D137" s="590"/>
      <c r="E137" s="590"/>
      <c r="F137" s="590"/>
    </row>
    <row r="138" spans="1:6" ht="12.75">
      <c r="A138" s="87"/>
      <c r="B138" s="87"/>
      <c r="C138" s="87"/>
      <c r="D138" s="87"/>
      <c r="E138" s="87"/>
      <c r="F138" s="87"/>
    </row>
    <row r="139" spans="1:6" ht="12.75">
      <c r="A139" s="87"/>
      <c r="B139" s="87"/>
      <c r="C139" s="87"/>
      <c r="D139" s="87"/>
      <c r="E139" s="87"/>
      <c r="F139" s="87"/>
    </row>
    <row r="140" spans="1:6" ht="12.75">
      <c r="A140" s="87"/>
      <c r="B140" s="87"/>
      <c r="C140" s="87"/>
      <c r="D140" s="87"/>
      <c r="E140" s="87"/>
      <c r="F140" s="87"/>
    </row>
    <row r="141" spans="1:6" ht="12.75">
      <c r="A141" s="87"/>
      <c r="B141" s="87"/>
      <c r="C141" s="87"/>
      <c r="D141" s="87"/>
      <c r="E141" s="87"/>
      <c r="F141" s="87"/>
    </row>
    <row r="142" spans="1:6" ht="29.25" customHeight="1">
      <c r="A142" s="87"/>
      <c r="B142" s="87"/>
      <c r="C142" s="87"/>
      <c r="D142" s="592"/>
      <c r="E142" s="592"/>
      <c r="F142" s="592"/>
    </row>
  </sheetData>
  <mergeCells count="18">
    <mergeCell ref="D142:F142"/>
    <mergeCell ref="A137:F137"/>
    <mergeCell ref="A133:F133"/>
    <mergeCell ref="A130:F130"/>
    <mergeCell ref="A131:F131"/>
    <mergeCell ref="A135:F135"/>
    <mergeCell ref="A136:F136"/>
    <mergeCell ref="A134:F134"/>
    <mergeCell ref="A109:F109"/>
    <mergeCell ref="A117:F117"/>
    <mergeCell ref="A126:F126"/>
    <mergeCell ref="A125:F125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P8" sqref="P8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1" spans="4:14" ht="17.25" customHeight="1">
      <c r="D1" s="85"/>
      <c r="E1" s="85"/>
      <c r="I1" s="599" t="s">
        <v>777</v>
      </c>
      <c r="J1" s="599"/>
      <c r="K1" s="599"/>
      <c r="L1" s="599"/>
      <c r="M1" s="599"/>
      <c r="N1" s="599"/>
    </row>
    <row r="2" spans="1:14" ht="27" customHeight="1">
      <c r="A2" s="604" t="s">
        <v>25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14" ht="13.5" customHeight="1">
      <c r="A3" s="596" t="s">
        <v>576</v>
      </c>
      <c r="B3" s="596" t="s">
        <v>577</v>
      </c>
      <c r="C3" s="595" t="s">
        <v>724</v>
      </c>
      <c r="D3" s="595" t="s">
        <v>22</v>
      </c>
      <c r="E3" s="597" t="s">
        <v>698</v>
      </c>
      <c r="F3" s="605" t="s">
        <v>725</v>
      </c>
      <c r="G3" s="605"/>
      <c r="H3" s="605"/>
      <c r="I3" s="605"/>
      <c r="J3" s="605"/>
      <c r="K3" s="605"/>
      <c r="L3" s="605"/>
      <c r="M3" s="605"/>
      <c r="N3" s="603" t="s">
        <v>726</v>
      </c>
    </row>
    <row r="4" spans="1:14" ht="12.75" customHeight="1">
      <c r="A4" s="596"/>
      <c r="B4" s="596"/>
      <c r="C4" s="595"/>
      <c r="D4" s="595"/>
      <c r="E4" s="606"/>
      <c r="F4" s="597" t="s">
        <v>26</v>
      </c>
      <c r="G4" s="605" t="s">
        <v>727</v>
      </c>
      <c r="H4" s="605"/>
      <c r="I4" s="605"/>
      <c r="J4" s="605"/>
      <c r="K4" s="348"/>
      <c r="L4" s="596" t="s">
        <v>222</v>
      </c>
      <c r="M4" s="596" t="s">
        <v>28</v>
      </c>
      <c r="N4" s="603"/>
    </row>
    <row r="5" spans="1:14" ht="43.5" customHeight="1">
      <c r="A5" s="596"/>
      <c r="B5" s="596"/>
      <c r="C5" s="595"/>
      <c r="D5" s="595"/>
      <c r="E5" s="598"/>
      <c r="F5" s="598"/>
      <c r="G5" s="327" t="s">
        <v>728</v>
      </c>
      <c r="H5" s="327" t="s">
        <v>729</v>
      </c>
      <c r="I5" s="327" t="s">
        <v>466</v>
      </c>
      <c r="J5" s="327" t="s">
        <v>27</v>
      </c>
      <c r="K5" s="327" t="s">
        <v>31</v>
      </c>
      <c r="L5" s="596"/>
      <c r="M5" s="596"/>
      <c r="N5" s="603"/>
    </row>
    <row r="6" spans="1:14" ht="10.5" customHeight="1">
      <c r="A6" s="348">
        <v>1</v>
      </c>
      <c r="B6" s="348">
        <v>2</v>
      </c>
      <c r="C6" s="348">
        <v>4</v>
      </c>
      <c r="D6" s="348">
        <v>5</v>
      </c>
      <c r="E6" s="348">
        <v>6</v>
      </c>
      <c r="F6" s="348">
        <v>7</v>
      </c>
      <c r="G6" s="348">
        <v>8</v>
      </c>
      <c r="H6" s="348">
        <v>8</v>
      </c>
      <c r="I6" s="348">
        <v>9</v>
      </c>
      <c r="J6" s="348">
        <v>10</v>
      </c>
      <c r="K6" s="348">
        <v>11</v>
      </c>
      <c r="L6" s="348">
        <v>12</v>
      </c>
      <c r="M6" s="349">
        <v>13</v>
      </c>
      <c r="N6" s="348">
        <v>14</v>
      </c>
    </row>
    <row r="7" spans="1:14" ht="47.25" customHeight="1" hidden="1">
      <c r="A7" s="132">
        <v>600</v>
      </c>
      <c r="B7" s="132">
        <v>60014</v>
      </c>
      <c r="C7" s="131" t="s">
        <v>730</v>
      </c>
      <c r="D7" s="86">
        <f>F7+L7+M7</f>
        <v>0</v>
      </c>
      <c r="E7" s="86"/>
      <c r="F7" s="86">
        <f>G7+H7+J7+I7</f>
        <v>0</v>
      </c>
      <c r="G7" s="86"/>
      <c r="H7" s="86"/>
      <c r="I7" s="86"/>
      <c r="J7" s="86"/>
      <c r="K7" s="86"/>
      <c r="L7" s="86"/>
      <c r="M7" s="86"/>
      <c r="N7" s="133" t="s">
        <v>722</v>
      </c>
    </row>
    <row r="8" spans="1:14" ht="25.5" customHeight="1">
      <c r="A8" s="214">
        <v>600</v>
      </c>
      <c r="B8" s="214">
        <v>60014</v>
      </c>
      <c r="C8" s="345" t="s">
        <v>496</v>
      </c>
      <c r="D8" s="276">
        <f>E8+F8+L8+M8</f>
        <v>1313546</v>
      </c>
      <c r="E8" s="276">
        <v>578918</v>
      </c>
      <c r="F8" s="276">
        <f aca="true" t="shared" si="0" ref="F8:F24">G8+H8+J8+I8+K8</f>
        <v>734628</v>
      </c>
      <c r="G8" s="276">
        <v>50000</v>
      </c>
      <c r="H8" s="276">
        <v>0</v>
      </c>
      <c r="I8" s="276">
        <v>88500</v>
      </c>
      <c r="J8" s="276">
        <v>75157</v>
      </c>
      <c r="K8" s="276">
        <v>520971</v>
      </c>
      <c r="L8" s="276">
        <v>0</v>
      </c>
      <c r="M8" s="276">
        <v>0</v>
      </c>
      <c r="N8" s="345" t="s">
        <v>376</v>
      </c>
    </row>
    <row r="9" spans="1:14" ht="27" customHeight="1">
      <c r="A9" s="214">
        <v>600</v>
      </c>
      <c r="B9" s="214">
        <v>60014</v>
      </c>
      <c r="C9" s="345" t="s">
        <v>495</v>
      </c>
      <c r="D9" s="276">
        <f aca="true" t="shared" si="1" ref="D9:D25">E9+F9+L9+M9</f>
        <v>6420034</v>
      </c>
      <c r="E9" s="276">
        <v>1971733</v>
      </c>
      <c r="F9" s="276">
        <f t="shared" si="0"/>
        <v>2075046</v>
      </c>
      <c r="G9" s="276">
        <v>139000</v>
      </c>
      <c r="H9" s="276">
        <v>0</v>
      </c>
      <c r="I9" s="276">
        <v>294500</v>
      </c>
      <c r="J9" s="276">
        <v>174512</v>
      </c>
      <c r="K9" s="276">
        <v>1467034</v>
      </c>
      <c r="L9" s="276">
        <v>2373255</v>
      </c>
      <c r="M9" s="276">
        <v>0</v>
      </c>
      <c r="N9" s="345" t="s">
        <v>375</v>
      </c>
    </row>
    <row r="10" spans="1:14" ht="26.25" customHeight="1">
      <c r="A10" s="214">
        <v>600</v>
      </c>
      <c r="B10" s="214">
        <v>60014</v>
      </c>
      <c r="C10" s="345" t="s">
        <v>318</v>
      </c>
      <c r="D10" s="276">
        <f t="shared" si="1"/>
        <v>120000</v>
      </c>
      <c r="E10" s="276">
        <v>0</v>
      </c>
      <c r="F10" s="276">
        <f t="shared" si="0"/>
        <v>120000</v>
      </c>
      <c r="G10" s="276">
        <v>60000</v>
      </c>
      <c r="H10" s="276"/>
      <c r="I10" s="276"/>
      <c r="J10" s="276">
        <v>60000</v>
      </c>
      <c r="K10" s="276"/>
      <c r="L10" s="276"/>
      <c r="M10" s="276"/>
      <c r="N10" s="345" t="s">
        <v>374</v>
      </c>
    </row>
    <row r="11" spans="1:14" ht="18.75" customHeight="1">
      <c r="A11" s="214">
        <v>600</v>
      </c>
      <c r="B11" s="214">
        <v>60014</v>
      </c>
      <c r="C11" s="345" t="s">
        <v>30</v>
      </c>
      <c r="D11" s="276">
        <f t="shared" si="1"/>
        <v>100000</v>
      </c>
      <c r="E11" s="276">
        <v>0</v>
      </c>
      <c r="F11" s="276">
        <f t="shared" si="0"/>
        <v>100000</v>
      </c>
      <c r="G11" s="276">
        <v>100000</v>
      </c>
      <c r="H11" s="276"/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345" t="s">
        <v>373</v>
      </c>
    </row>
    <row r="12" spans="1:14" ht="17.25" customHeight="1">
      <c r="A12" s="214">
        <v>600</v>
      </c>
      <c r="B12" s="214">
        <v>60014</v>
      </c>
      <c r="C12" s="345" t="s">
        <v>319</v>
      </c>
      <c r="D12" s="276">
        <f t="shared" si="1"/>
        <v>10000</v>
      </c>
      <c r="E12" s="276"/>
      <c r="F12" s="276">
        <f t="shared" si="0"/>
        <v>10000</v>
      </c>
      <c r="G12" s="276">
        <v>10000</v>
      </c>
      <c r="H12" s="276"/>
      <c r="I12" s="276"/>
      <c r="J12" s="276"/>
      <c r="K12" s="276"/>
      <c r="L12" s="276"/>
      <c r="M12" s="276"/>
      <c r="N12" s="345" t="s">
        <v>373</v>
      </c>
    </row>
    <row r="13" spans="1:14" ht="17.25" customHeight="1">
      <c r="A13" s="214">
        <v>600</v>
      </c>
      <c r="B13" s="214">
        <v>60014</v>
      </c>
      <c r="C13" s="345" t="s">
        <v>32</v>
      </c>
      <c r="D13" s="276">
        <f t="shared" si="1"/>
        <v>16000</v>
      </c>
      <c r="E13" s="276">
        <v>0</v>
      </c>
      <c r="F13" s="276">
        <f t="shared" si="0"/>
        <v>16000</v>
      </c>
      <c r="G13" s="276">
        <v>16000</v>
      </c>
      <c r="H13" s="276"/>
      <c r="I13" s="276"/>
      <c r="J13" s="276"/>
      <c r="K13" s="276"/>
      <c r="L13" s="276"/>
      <c r="M13" s="276"/>
      <c r="N13" s="345" t="s">
        <v>373</v>
      </c>
    </row>
    <row r="14" spans="1:14" ht="24.75" customHeight="1">
      <c r="A14" s="214">
        <v>754</v>
      </c>
      <c r="B14" s="214">
        <v>75411</v>
      </c>
      <c r="C14" s="345" t="s">
        <v>320</v>
      </c>
      <c r="D14" s="276">
        <f t="shared" si="1"/>
        <v>20000</v>
      </c>
      <c r="E14" s="276"/>
      <c r="F14" s="276">
        <f t="shared" si="0"/>
        <v>20000</v>
      </c>
      <c r="G14" s="276"/>
      <c r="H14" s="276"/>
      <c r="I14" s="276"/>
      <c r="J14" s="276">
        <v>20000</v>
      </c>
      <c r="K14" s="276"/>
      <c r="L14" s="276"/>
      <c r="M14" s="276"/>
      <c r="N14" s="345" t="s">
        <v>372</v>
      </c>
    </row>
    <row r="15" spans="1:14" ht="24" customHeight="1">
      <c r="A15" s="214">
        <v>801</v>
      </c>
      <c r="B15" s="214">
        <v>80111</v>
      </c>
      <c r="C15" s="347" t="s">
        <v>377</v>
      </c>
      <c r="D15" s="276">
        <f t="shared" si="1"/>
        <v>239251</v>
      </c>
      <c r="E15" s="276">
        <v>2500</v>
      </c>
      <c r="F15" s="276">
        <f t="shared" si="0"/>
        <v>236751</v>
      </c>
      <c r="G15" s="276"/>
      <c r="H15" s="276"/>
      <c r="I15" s="276"/>
      <c r="J15" s="276">
        <v>236751</v>
      </c>
      <c r="K15" s="276"/>
      <c r="L15" s="276"/>
      <c r="M15" s="276"/>
      <c r="N15" s="345" t="s">
        <v>697</v>
      </c>
    </row>
    <row r="16" spans="1:15" ht="22.5" customHeight="1">
      <c r="A16" s="130">
        <v>851</v>
      </c>
      <c r="B16" s="130">
        <v>85111</v>
      </c>
      <c r="C16" s="347" t="s">
        <v>606</v>
      </c>
      <c r="D16" s="276">
        <f t="shared" si="1"/>
        <v>6980000</v>
      </c>
      <c r="E16" s="276">
        <v>101860</v>
      </c>
      <c r="F16" s="276">
        <f t="shared" si="0"/>
        <v>2674262</v>
      </c>
      <c r="G16" s="277">
        <v>523500</v>
      </c>
      <c r="H16" s="277">
        <v>0</v>
      </c>
      <c r="I16" s="277">
        <v>0</v>
      </c>
      <c r="J16" s="277">
        <v>349000</v>
      </c>
      <c r="K16" s="277">
        <v>1801762</v>
      </c>
      <c r="L16" s="277">
        <v>3096542</v>
      </c>
      <c r="M16" s="277">
        <v>1107336</v>
      </c>
      <c r="N16" s="346" t="s">
        <v>371</v>
      </c>
      <c r="O16" s="124"/>
    </row>
    <row r="17" spans="1:15" ht="21" customHeight="1">
      <c r="A17" s="130">
        <v>851</v>
      </c>
      <c r="B17" s="130">
        <v>85111</v>
      </c>
      <c r="C17" s="347" t="s">
        <v>66</v>
      </c>
      <c r="D17" s="276">
        <f t="shared" si="1"/>
        <v>49676</v>
      </c>
      <c r="E17" s="276">
        <v>0</v>
      </c>
      <c r="F17" s="276">
        <f t="shared" si="0"/>
        <v>49676</v>
      </c>
      <c r="G17" s="277">
        <v>49676</v>
      </c>
      <c r="H17" s="277"/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346" t="s">
        <v>370</v>
      </c>
      <c r="O17" s="124"/>
    </row>
    <row r="18" spans="1:15" ht="26.25" customHeight="1">
      <c r="A18" s="130">
        <v>852</v>
      </c>
      <c r="B18" s="130">
        <v>85202</v>
      </c>
      <c r="C18" s="347" t="s">
        <v>21</v>
      </c>
      <c r="D18" s="276">
        <f t="shared" si="1"/>
        <v>112413</v>
      </c>
      <c r="E18" s="277">
        <v>0</v>
      </c>
      <c r="F18" s="277">
        <f t="shared" si="0"/>
        <v>112413</v>
      </c>
      <c r="G18" s="277">
        <v>58413</v>
      </c>
      <c r="H18" s="277"/>
      <c r="I18" s="277">
        <v>0</v>
      </c>
      <c r="J18" s="277">
        <v>54000</v>
      </c>
      <c r="K18" s="277">
        <v>0</v>
      </c>
      <c r="L18" s="277">
        <v>0</v>
      </c>
      <c r="M18" s="277">
        <v>0</v>
      </c>
      <c r="N18" s="346" t="s">
        <v>34</v>
      </c>
      <c r="O18" s="124"/>
    </row>
    <row r="19" spans="1:15" ht="17.25" customHeight="1">
      <c r="A19" s="130">
        <v>853</v>
      </c>
      <c r="B19" s="130">
        <v>85333</v>
      </c>
      <c r="C19" s="347" t="s">
        <v>321</v>
      </c>
      <c r="D19" s="276">
        <f t="shared" si="1"/>
        <v>25000</v>
      </c>
      <c r="E19" s="276">
        <v>0</v>
      </c>
      <c r="F19" s="277">
        <f t="shared" si="0"/>
        <v>25000</v>
      </c>
      <c r="G19" s="277">
        <v>25000</v>
      </c>
      <c r="H19" s="277"/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346" t="s">
        <v>369</v>
      </c>
      <c r="O19" s="124"/>
    </row>
    <row r="20" spans="1:15" ht="24" customHeight="1">
      <c r="A20" s="130">
        <v>854</v>
      </c>
      <c r="B20" s="130">
        <v>85403</v>
      </c>
      <c r="C20" s="347" t="s">
        <v>322</v>
      </c>
      <c r="D20" s="276">
        <f t="shared" si="1"/>
        <v>188252</v>
      </c>
      <c r="E20" s="276"/>
      <c r="F20" s="277">
        <f t="shared" si="0"/>
        <v>188252</v>
      </c>
      <c r="G20" s="277">
        <v>18825</v>
      </c>
      <c r="H20" s="277"/>
      <c r="I20" s="277"/>
      <c r="J20" s="277">
        <v>169427</v>
      </c>
      <c r="K20" s="277"/>
      <c r="L20" s="277"/>
      <c r="M20" s="277"/>
      <c r="N20" s="345" t="s">
        <v>697</v>
      </c>
      <c r="O20" s="124"/>
    </row>
    <row r="21" spans="1:15" ht="26.25" customHeight="1">
      <c r="A21" s="130">
        <v>854</v>
      </c>
      <c r="B21" s="130">
        <v>85403</v>
      </c>
      <c r="C21" s="347" t="s">
        <v>357</v>
      </c>
      <c r="D21" s="276">
        <f t="shared" si="1"/>
        <v>199940</v>
      </c>
      <c r="E21" s="276">
        <v>20994</v>
      </c>
      <c r="F21" s="277">
        <f t="shared" si="0"/>
        <v>178946</v>
      </c>
      <c r="G21" s="277">
        <v>2018</v>
      </c>
      <c r="H21" s="277"/>
      <c r="I21" s="277"/>
      <c r="J21" s="277">
        <v>176928</v>
      </c>
      <c r="K21" s="277"/>
      <c r="L21" s="277"/>
      <c r="M21" s="277"/>
      <c r="N21" s="345" t="s">
        <v>697</v>
      </c>
      <c r="O21" s="124"/>
    </row>
    <row r="22" spans="1:15" ht="18" customHeight="1">
      <c r="A22" s="130">
        <v>854</v>
      </c>
      <c r="B22" s="130">
        <v>85410</v>
      </c>
      <c r="C22" s="347" t="s">
        <v>29</v>
      </c>
      <c r="D22" s="277">
        <f t="shared" si="1"/>
        <v>695772</v>
      </c>
      <c r="E22" s="277">
        <v>13100</v>
      </c>
      <c r="F22" s="277">
        <f t="shared" si="0"/>
        <v>682672</v>
      </c>
      <c r="G22" s="277">
        <v>232672</v>
      </c>
      <c r="H22" s="277"/>
      <c r="I22" s="277">
        <v>0</v>
      </c>
      <c r="J22" s="277">
        <v>0</v>
      </c>
      <c r="K22" s="277">
        <v>450000</v>
      </c>
      <c r="L22" s="277">
        <v>0</v>
      </c>
      <c r="M22" s="277">
        <v>0</v>
      </c>
      <c r="N22" s="346" t="s">
        <v>367</v>
      </c>
      <c r="O22" s="124"/>
    </row>
    <row r="23" spans="1:15" ht="18" customHeight="1">
      <c r="A23" s="130">
        <v>801</v>
      </c>
      <c r="B23" s="130">
        <v>80130</v>
      </c>
      <c r="C23" s="347" t="s">
        <v>188</v>
      </c>
      <c r="D23" s="277">
        <f t="shared" si="1"/>
        <v>30000</v>
      </c>
      <c r="E23" s="277"/>
      <c r="F23" s="277">
        <v>30000</v>
      </c>
      <c r="G23" s="277"/>
      <c r="H23" s="277"/>
      <c r="I23" s="277"/>
      <c r="J23" s="277"/>
      <c r="K23" s="277"/>
      <c r="L23" s="277"/>
      <c r="M23" s="277"/>
      <c r="N23" s="346" t="s">
        <v>187</v>
      </c>
      <c r="O23" s="124"/>
    </row>
    <row r="24" spans="1:15" ht="36" customHeight="1" thickBot="1">
      <c r="A24" s="130">
        <v>700</v>
      </c>
      <c r="B24" s="130">
        <v>70005</v>
      </c>
      <c r="C24" s="347" t="s">
        <v>317</v>
      </c>
      <c r="D24" s="277">
        <f t="shared" si="1"/>
        <v>615047</v>
      </c>
      <c r="E24" s="277">
        <v>0</v>
      </c>
      <c r="F24" s="277">
        <f t="shared" si="0"/>
        <v>615047</v>
      </c>
      <c r="G24" s="277">
        <v>325047</v>
      </c>
      <c r="H24" s="277"/>
      <c r="I24" s="277"/>
      <c r="J24" s="277">
        <v>290000</v>
      </c>
      <c r="K24" s="277"/>
      <c r="L24" s="277"/>
      <c r="M24" s="277"/>
      <c r="N24" s="346" t="s">
        <v>368</v>
      </c>
      <c r="O24" s="124"/>
    </row>
    <row r="25" spans="1:14" s="36" customFormat="1" ht="16.5" customHeight="1" thickBot="1">
      <c r="A25" s="600" t="s">
        <v>731</v>
      </c>
      <c r="B25" s="601"/>
      <c r="C25" s="602"/>
      <c r="D25" s="320">
        <f t="shared" si="1"/>
        <v>17134931</v>
      </c>
      <c r="E25" s="320">
        <f>E8+E9+E10+E11+E13+E15+E16+E17+E18+E19+E20+E21+E22</f>
        <v>2689105</v>
      </c>
      <c r="F25" s="320">
        <f aca="true" t="shared" si="2" ref="F25:M25">F8+F9+F10+F11+F12+F13+F14+F15+F16+F17+F18+F19+F20+F21+F22+F23+F24</f>
        <v>7868693</v>
      </c>
      <c r="G25" s="320">
        <f t="shared" si="2"/>
        <v>1610151</v>
      </c>
      <c r="H25" s="320">
        <f t="shared" si="2"/>
        <v>0</v>
      </c>
      <c r="I25" s="320">
        <f t="shared" si="2"/>
        <v>383000</v>
      </c>
      <c r="J25" s="320">
        <f t="shared" si="2"/>
        <v>1605775</v>
      </c>
      <c r="K25" s="320">
        <f t="shared" si="2"/>
        <v>4239767</v>
      </c>
      <c r="L25" s="320">
        <f t="shared" si="2"/>
        <v>5469797</v>
      </c>
      <c r="M25" s="320">
        <f t="shared" si="2"/>
        <v>1107336</v>
      </c>
      <c r="N25" s="320"/>
    </row>
    <row r="26" spans="1:11" ht="4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3" ht="12.75">
      <c r="A27" s="128"/>
      <c r="B27" s="128"/>
      <c r="C27" s="128"/>
      <c r="D27" s="128"/>
      <c r="E27" s="128"/>
      <c r="F27" s="128"/>
      <c r="G27" s="128"/>
      <c r="H27" s="128"/>
      <c r="I27" s="128"/>
      <c r="J27" s="594" t="s">
        <v>221</v>
      </c>
      <c r="K27" s="594"/>
      <c r="L27" s="594"/>
      <c r="M27" s="594"/>
    </row>
    <row r="28" spans="1:13" ht="11.25" customHeight="1">
      <c r="A28" s="128" t="s">
        <v>148</v>
      </c>
      <c r="B28" s="128"/>
      <c r="C28" s="128"/>
      <c r="D28" s="128"/>
      <c r="E28" s="128"/>
      <c r="F28" s="128"/>
      <c r="G28" s="128"/>
      <c r="H28" s="128"/>
      <c r="I28" s="128"/>
      <c r="J28" s="594" t="s">
        <v>354</v>
      </c>
      <c r="K28" s="594"/>
      <c r="L28" s="594"/>
      <c r="M28" s="594"/>
    </row>
    <row r="29" spans="1:11" ht="12.75" hidden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2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2.7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ht="12.7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2" customHeight="1"/>
    <row r="34" ht="12.75" hidden="1"/>
    <row r="35" ht="18" customHeight="1"/>
  </sheetData>
  <mergeCells count="16">
    <mergeCell ref="I1:N1"/>
    <mergeCell ref="A25:C25"/>
    <mergeCell ref="M4:M5"/>
    <mergeCell ref="N3:N5"/>
    <mergeCell ref="A2:N2"/>
    <mergeCell ref="A3:A5"/>
    <mergeCell ref="B3:B5"/>
    <mergeCell ref="G4:J4"/>
    <mergeCell ref="F3:M3"/>
    <mergeCell ref="E3:E5"/>
    <mergeCell ref="J27:M27"/>
    <mergeCell ref="J28:M28"/>
    <mergeCell ref="D3:D5"/>
    <mergeCell ref="C3:C5"/>
    <mergeCell ref="L4:L5"/>
    <mergeCell ref="F4:F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O6" sqref="O6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607" t="s">
        <v>778</v>
      </c>
      <c r="F1" s="607"/>
      <c r="G1" s="607"/>
      <c r="H1" s="607"/>
      <c r="I1" s="607"/>
      <c r="J1" s="607"/>
      <c r="K1" s="607"/>
      <c r="L1" s="607"/>
      <c r="M1" s="607"/>
    </row>
    <row r="2" ht="11.25" customHeight="1"/>
    <row r="3" ht="0.75" customHeight="1"/>
    <row r="4" spans="1:13" ht="15.75" customHeight="1" thickBot="1">
      <c r="A4" s="615" t="s">
        <v>706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</row>
    <row r="5" spans="1:13" ht="13.5" thickBot="1">
      <c r="A5" s="609" t="s">
        <v>624</v>
      </c>
      <c r="B5" s="609" t="s">
        <v>671</v>
      </c>
      <c r="C5" s="611" t="s">
        <v>433</v>
      </c>
      <c r="D5" s="613" t="s">
        <v>206</v>
      </c>
      <c r="E5" s="613"/>
      <c r="F5" s="613"/>
      <c r="G5" s="613"/>
      <c r="H5" s="613"/>
      <c r="I5" s="613"/>
      <c r="J5" s="613"/>
      <c r="K5" s="613"/>
      <c r="L5" s="613"/>
      <c r="M5" s="614"/>
    </row>
    <row r="6" spans="1:13" ht="46.5" customHeight="1" thickBot="1">
      <c r="A6" s="610"/>
      <c r="B6" s="610"/>
      <c r="C6" s="612"/>
      <c r="D6" s="318">
        <v>2006</v>
      </c>
      <c r="E6" s="318">
        <v>2007</v>
      </c>
      <c r="F6" s="318">
        <v>2008</v>
      </c>
      <c r="G6" s="318">
        <v>2009</v>
      </c>
      <c r="H6" s="318">
        <v>2010</v>
      </c>
      <c r="I6" s="318">
        <v>2011</v>
      </c>
      <c r="J6" s="318">
        <v>2012</v>
      </c>
      <c r="K6" s="319">
        <v>2013</v>
      </c>
      <c r="L6" s="319">
        <v>2014</v>
      </c>
      <c r="M6" s="318">
        <v>2015</v>
      </c>
    </row>
    <row r="7" spans="1:13" ht="13.5" thickBot="1">
      <c r="A7" s="117">
        <v>1</v>
      </c>
      <c r="B7" s="117">
        <v>2</v>
      </c>
      <c r="C7" s="81">
        <v>3</v>
      </c>
      <c r="D7" s="79">
        <v>5</v>
      </c>
      <c r="E7" s="122">
        <v>6</v>
      </c>
      <c r="F7" s="79">
        <v>7</v>
      </c>
      <c r="G7" s="79">
        <v>8</v>
      </c>
      <c r="H7" s="79">
        <v>9</v>
      </c>
      <c r="I7" s="79">
        <v>10</v>
      </c>
      <c r="J7" s="79">
        <v>11</v>
      </c>
      <c r="K7" s="80">
        <v>12</v>
      </c>
      <c r="L7" s="80">
        <v>13</v>
      </c>
      <c r="M7" s="81">
        <v>14</v>
      </c>
    </row>
    <row r="8" spans="1:13" ht="20.25" customHeight="1">
      <c r="A8" s="219" t="s">
        <v>636</v>
      </c>
      <c r="B8" s="352" t="s">
        <v>707</v>
      </c>
      <c r="C8" s="220">
        <v>8483700</v>
      </c>
      <c r="D8" s="221">
        <v>7377132</v>
      </c>
      <c r="E8" s="220">
        <v>6220564</v>
      </c>
      <c r="F8" s="220">
        <v>5046271</v>
      </c>
      <c r="G8" s="220">
        <v>3799703</v>
      </c>
      <c r="H8" s="220">
        <v>2743135</v>
      </c>
      <c r="I8" s="220">
        <v>1686567</v>
      </c>
      <c r="J8" s="221">
        <v>630000</v>
      </c>
      <c r="K8" s="220">
        <v>0</v>
      </c>
      <c r="L8" s="220">
        <v>0</v>
      </c>
      <c r="M8" s="220">
        <v>0</v>
      </c>
    </row>
    <row r="9" spans="1:13" ht="12.75">
      <c r="A9" s="222" t="s">
        <v>637</v>
      </c>
      <c r="B9" s="316" t="s">
        <v>708</v>
      </c>
      <c r="C9" s="223">
        <v>137600</v>
      </c>
      <c r="D9" s="224">
        <v>72000</v>
      </c>
      <c r="E9" s="223">
        <v>36000</v>
      </c>
      <c r="F9" s="223">
        <v>0</v>
      </c>
      <c r="G9" s="223">
        <v>0</v>
      </c>
      <c r="H9" s="223">
        <v>0</v>
      </c>
      <c r="I9" s="223">
        <v>0</v>
      </c>
      <c r="J9" s="224">
        <v>0</v>
      </c>
      <c r="K9" s="223">
        <v>0</v>
      </c>
      <c r="L9" s="223">
        <v>0</v>
      </c>
      <c r="M9" s="223">
        <v>0</v>
      </c>
    </row>
    <row r="10" spans="1:13" ht="21.75" customHeight="1">
      <c r="A10" s="225" t="s">
        <v>639</v>
      </c>
      <c r="B10" s="316" t="s">
        <v>378</v>
      </c>
      <c r="C10" s="226">
        <v>0</v>
      </c>
      <c r="D10" s="227">
        <v>0</v>
      </c>
      <c r="E10" s="226">
        <v>0</v>
      </c>
      <c r="F10" s="226">
        <v>0</v>
      </c>
      <c r="G10" s="226">
        <v>0</v>
      </c>
      <c r="H10" s="226">
        <v>0</v>
      </c>
      <c r="I10" s="226"/>
      <c r="J10" s="227"/>
      <c r="K10" s="226"/>
      <c r="L10" s="226"/>
      <c r="M10" s="226"/>
    </row>
    <row r="11" spans="1:13" ht="12.75">
      <c r="A11" s="225" t="s">
        <v>641</v>
      </c>
      <c r="B11" s="317" t="s">
        <v>708</v>
      </c>
      <c r="C11" s="226">
        <v>300000</v>
      </c>
      <c r="D11" s="227">
        <v>1383686</v>
      </c>
      <c r="E11" s="226">
        <v>1150000</v>
      </c>
      <c r="F11" s="226">
        <v>920000</v>
      </c>
      <c r="G11" s="226">
        <v>690000</v>
      </c>
      <c r="H11" s="226">
        <v>460000</v>
      </c>
      <c r="I11" s="226">
        <v>230000</v>
      </c>
      <c r="J11" s="227">
        <v>0</v>
      </c>
      <c r="K11" s="226">
        <v>0</v>
      </c>
      <c r="L11" s="226">
        <v>0</v>
      </c>
      <c r="M11" s="226">
        <v>0</v>
      </c>
    </row>
    <row r="12" spans="1:13" ht="21" customHeight="1">
      <c r="A12" s="222" t="s">
        <v>643</v>
      </c>
      <c r="B12" s="316" t="s">
        <v>709</v>
      </c>
      <c r="C12" s="223">
        <v>1887123</v>
      </c>
      <c r="D12" s="224"/>
      <c r="E12" s="223">
        <v>0</v>
      </c>
      <c r="F12" s="223"/>
      <c r="G12" s="223"/>
      <c r="H12" s="223"/>
      <c r="I12" s="223"/>
      <c r="J12" s="224"/>
      <c r="K12" s="223"/>
      <c r="L12" s="223"/>
      <c r="M12" s="223">
        <v>0</v>
      </c>
    </row>
    <row r="13" spans="1:13" ht="20.25" customHeight="1">
      <c r="A13" s="222" t="s">
        <v>676</v>
      </c>
      <c r="B13" s="316" t="s">
        <v>710</v>
      </c>
      <c r="C13" s="223">
        <v>356000</v>
      </c>
      <c r="D13" s="224">
        <v>739000</v>
      </c>
      <c r="E13" s="223">
        <v>1073439</v>
      </c>
      <c r="F13" s="223">
        <v>1058439</v>
      </c>
      <c r="G13" s="223">
        <v>882035</v>
      </c>
      <c r="H13" s="223">
        <v>705631</v>
      </c>
      <c r="I13" s="223">
        <v>529227</v>
      </c>
      <c r="J13" s="224">
        <v>352823</v>
      </c>
      <c r="K13" s="223">
        <v>176419</v>
      </c>
      <c r="L13" s="223">
        <v>0</v>
      </c>
      <c r="M13" s="223">
        <v>0</v>
      </c>
    </row>
    <row r="14" spans="1:13" ht="19.5">
      <c r="A14" s="228" t="s">
        <v>678</v>
      </c>
      <c r="B14" s="316" t="s">
        <v>568</v>
      </c>
      <c r="C14" s="134">
        <v>0</v>
      </c>
      <c r="D14" s="229">
        <v>180892</v>
      </c>
      <c r="E14" s="134">
        <v>196326</v>
      </c>
      <c r="F14" s="134">
        <v>279877</v>
      </c>
      <c r="G14" s="134">
        <v>191985</v>
      </c>
      <c r="H14" s="134">
        <v>214251</v>
      </c>
      <c r="I14" s="134">
        <v>280968</v>
      </c>
      <c r="J14" s="229">
        <v>1099598</v>
      </c>
      <c r="K14" s="134">
        <v>105398</v>
      </c>
      <c r="L14" s="134">
        <v>102446</v>
      </c>
      <c r="M14" s="134">
        <v>36982</v>
      </c>
    </row>
    <row r="15" spans="1:13" ht="18.75" customHeight="1">
      <c r="A15" s="230" t="s">
        <v>661</v>
      </c>
      <c r="B15" s="316" t="s">
        <v>711</v>
      </c>
      <c r="C15" s="134">
        <f>C16+C17+C18+C19</f>
        <v>0</v>
      </c>
      <c r="D15" s="229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29">
        <v>0</v>
      </c>
      <c r="K15" s="134">
        <v>0</v>
      </c>
      <c r="L15" s="134">
        <v>0</v>
      </c>
      <c r="M15" s="134">
        <v>0</v>
      </c>
    </row>
    <row r="16" spans="1:13" ht="11.25" customHeight="1">
      <c r="A16" s="228"/>
      <c r="B16" s="317" t="s">
        <v>672</v>
      </c>
      <c r="C16" s="134">
        <v>0</v>
      </c>
      <c r="D16" s="229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29">
        <v>0</v>
      </c>
      <c r="K16" s="134">
        <v>0</v>
      </c>
      <c r="L16" s="134">
        <v>0</v>
      </c>
      <c r="M16" s="134">
        <v>0</v>
      </c>
    </row>
    <row r="17" spans="1:13" ht="11.25" customHeight="1">
      <c r="A17" s="228"/>
      <c r="B17" s="317" t="s">
        <v>673</v>
      </c>
      <c r="C17" s="134">
        <v>0</v>
      </c>
      <c r="D17" s="229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29">
        <v>0</v>
      </c>
      <c r="K17" s="134">
        <v>0</v>
      </c>
      <c r="L17" s="134">
        <v>0</v>
      </c>
      <c r="M17" s="134">
        <v>0</v>
      </c>
    </row>
    <row r="18" spans="1:13" ht="10.5" customHeight="1">
      <c r="A18" s="228"/>
      <c r="B18" s="317" t="s">
        <v>674</v>
      </c>
      <c r="C18" s="134">
        <v>0</v>
      </c>
      <c r="D18" s="229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29">
        <v>0</v>
      </c>
      <c r="K18" s="134">
        <v>0</v>
      </c>
      <c r="L18" s="134">
        <v>0</v>
      </c>
      <c r="M18" s="134">
        <v>0</v>
      </c>
    </row>
    <row r="19" spans="1:13" ht="10.5" customHeight="1">
      <c r="A19" s="228"/>
      <c r="B19" s="317" t="s">
        <v>675</v>
      </c>
      <c r="C19" s="134">
        <v>0</v>
      </c>
      <c r="D19" s="229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229">
        <v>0</v>
      </c>
      <c r="K19" s="134">
        <v>0</v>
      </c>
      <c r="L19" s="134">
        <v>0</v>
      </c>
      <c r="M19" s="134">
        <v>0</v>
      </c>
    </row>
    <row r="20" spans="1:13" ht="12.75">
      <c r="A20" s="222" t="s">
        <v>733</v>
      </c>
      <c r="B20" s="136" t="s">
        <v>677</v>
      </c>
      <c r="C20" s="223">
        <v>11164423</v>
      </c>
      <c r="D20" s="224">
        <f>D8+D9+D10+D11+D12+D13+D14+D15</f>
        <v>9752710</v>
      </c>
      <c r="E20" s="224">
        <f aca="true" t="shared" si="0" ref="E20:M20">E8+E9+E10+E11+E12+E13+E14+E15</f>
        <v>8676329</v>
      </c>
      <c r="F20" s="224">
        <f t="shared" si="0"/>
        <v>7304587</v>
      </c>
      <c r="G20" s="224">
        <f t="shared" si="0"/>
        <v>5563723</v>
      </c>
      <c r="H20" s="224">
        <f t="shared" si="0"/>
        <v>4123017</v>
      </c>
      <c r="I20" s="224">
        <f t="shared" si="0"/>
        <v>2726762</v>
      </c>
      <c r="J20" s="224">
        <f t="shared" si="0"/>
        <v>2082421</v>
      </c>
      <c r="K20" s="224">
        <f t="shared" si="0"/>
        <v>281817</v>
      </c>
      <c r="L20" s="224">
        <f t="shared" si="0"/>
        <v>102446</v>
      </c>
      <c r="M20" s="224">
        <f t="shared" si="0"/>
        <v>36982</v>
      </c>
    </row>
    <row r="21" spans="1:13" ht="13.5" thickBot="1">
      <c r="A21" s="225" t="s">
        <v>721</v>
      </c>
      <c r="B21" s="135" t="s">
        <v>679</v>
      </c>
      <c r="C21" s="231">
        <v>30327932</v>
      </c>
      <c r="D21" s="232">
        <f>'z8'!D9</f>
        <v>35821386</v>
      </c>
      <c r="E21" s="233">
        <v>31631000</v>
      </c>
      <c r="F21" s="233">
        <v>30145000</v>
      </c>
      <c r="G21" s="233">
        <v>29600000</v>
      </c>
      <c r="H21" s="233">
        <v>29200000</v>
      </c>
      <c r="I21" s="233">
        <v>29400000</v>
      </c>
      <c r="J21" s="234">
        <v>29500000</v>
      </c>
      <c r="K21" s="233">
        <v>29600000</v>
      </c>
      <c r="L21" s="233">
        <v>29700000</v>
      </c>
      <c r="M21" s="233">
        <v>30000000</v>
      </c>
    </row>
    <row r="22" spans="1:13" ht="23.25" thickBot="1">
      <c r="A22" s="235" t="s">
        <v>199</v>
      </c>
      <c r="B22" s="236" t="s">
        <v>705</v>
      </c>
      <c r="C22" s="237">
        <f>C20/C21</f>
        <v>0.3681234513451164</v>
      </c>
      <c r="D22" s="238">
        <f>D20/D21</f>
        <v>0.2722594262544727</v>
      </c>
      <c r="E22" s="237">
        <f>E20/E21</f>
        <v>0.27429828332964495</v>
      </c>
      <c r="F22" s="237">
        <f>F20/F21</f>
        <v>0.24231504395422127</v>
      </c>
      <c r="G22" s="237">
        <v>0.1808</v>
      </c>
      <c r="H22" s="237">
        <f aca="true" t="shared" si="1" ref="H22:M22">H20/H21</f>
        <v>0.14119921232876712</v>
      </c>
      <c r="I22" s="237">
        <f t="shared" si="1"/>
        <v>0.09274700680272109</v>
      </c>
      <c r="J22" s="239">
        <f t="shared" si="1"/>
        <v>0.07059054237288136</v>
      </c>
      <c r="K22" s="239">
        <f t="shared" si="1"/>
        <v>0.009520844594594595</v>
      </c>
      <c r="L22" s="239">
        <f t="shared" si="1"/>
        <v>0.003449360269360269</v>
      </c>
      <c r="M22" s="239">
        <f t="shared" si="1"/>
        <v>0.0012327333333333333</v>
      </c>
    </row>
    <row r="23" spans="1:13" ht="13.5" thickBot="1">
      <c r="A23" s="240"/>
      <c r="B23" s="241"/>
      <c r="C23" s="242"/>
      <c r="D23" s="243"/>
      <c r="E23" s="244"/>
      <c r="F23" s="244"/>
      <c r="G23" s="244"/>
      <c r="H23" s="244"/>
      <c r="I23" s="244"/>
      <c r="J23" s="245"/>
      <c r="K23" s="245"/>
      <c r="L23" s="245"/>
      <c r="M23" s="245"/>
    </row>
    <row r="24" spans="1:13" ht="3" customHeight="1">
      <c r="A24" s="246"/>
      <c r="B24" s="247"/>
      <c r="C24" s="248"/>
      <c r="D24" s="248"/>
      <c r="E24" s="248"/>
      <c r="F24" s="248"/>
      <c r="G24" s="248"/>
      <c r="H24" s="247"/>
      <c r="I24" s="249"/>
      <c r="J24" s="249"/>
      <c r="K24" s="249"/>
      <c r="L24" s="249"/>
      <c r="M24" s="247"/>
    </row>
    <row r="25" spans="1:13" ht="19.5">
      <c r="A25" s="249"/>
      <c r="B25" s="350" t="s">
        <v>712</v>
      </c>
      <c r="C25" s="251">
        <v>1086568</v>
      </c>
      <c r="D25" s="251">
        <v>1106568</v>
      </c>
      <c r="E25" s="252">
        <v>1156568</v>
      </c>
      <c r="F25" s="252">
        <v>1174293</v>
      </c>
      <c r="G25" s="252">
        <v>1246568</v>
      </c>
      <c r="H25" s="251">
        <v>1056568</v>
      </c>
      <c r="I25" s="251">
        <v>1056568</v>
      </c>
      <c r="J25" s="251">
        <v>1056567</v>
      </c>
      <c r="K25" s="253">
        <v>630000</v>
      </c>
      <c r="L25" s="253">
        <v>0</v>
      </c>
      <c r="M25" s="251">
        <v>0</v>
      </c>
    </row>
    <row r="26" spans="1:13" ht="22.5" customHeight="1">
      <c r="A26" s="249"/>
      <c r="B26" s="351" t="s">
        <v>207</v>
      </c>
      <c r="C26" s="254">
        <v>56400</v>
      </c>
      <c r="D26" s="254">
        <v>36000</v>
      </c>
      <c r="E26" s="254">
        <v>36000</v>
      </c>
      <c r="F26" s="254">
        <v>36000</v>
      </c>
      <c r="G26" s="255">
        <v>0</v>
      </c>
      <c r="H26" s="255">
        <v>0</v>
      </c>
      <c r="I26" s="254">
        <v>0</v>
      </c>
      <c r="J26" s="251">
        <v>0</v>
      </c>
      <c r="K26" s="253">
        <v>0</v>
      </c>
      <c r="L26" s="253">
        <v>0</v>
      </c>
      <c r="M26" s="251">
        <v>0</v>
      </c>
    </row>
    <row r="27" spans="1:13" ht="19.5">
      <c r="A27" s="249"/>
      <c r="B27" s="351" t="s">
        <v>380</v>
      </c>
      <c r="C27" s="254">
        <v>0</v>
      </c>
      <c r="D27" s="254">
        <v>300000</v>
      </c>
      <c r="E27" s="254">
        <v>233686</v>
      </c>
      <c r="F27" s="254">
        <v>230000</v>
      </c>
      <c r="G27" s="254">
        <v>230000</v>
      </c>
      <c r="H27" s="254">
        <v>230000</v>
      </c>
      <c r="I27" s="254">
        <v>230000</v>
      </c>
      <c r="J27" s="254">
        <v>230000</v>
      </c>
      <c r="K27" s="253">
        <v>0</v>
      </c>
      <c r="L27" s="253">
        <v>0</v>
      </c>
      <c r="M27" s="251">
        <v>0</v>
      </c>
    </row>
    <row r="28" spans="1:13" ht="19.5">
      <c r="A28" s="249"/>
      <c r="B28" s="351" t="s">
        <v>381</v>
      </c>
      <c r="C28" s="255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/>
      <c r="K28" s="253"/>
      <c r="L28" s="253"/>
      <c r="M28" s="251"/>
    </row>
    <row r="29" spans="1:13" ht="19.5">
      <c r="A29" s="249"/>
      <c r="B29" s="351" t="s">
        <v>379</v>
      </c>
      <c r="C29" s="255">
        <v>0</v>
      </c>
      <c r="D29" s="254">
        <v>1887123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3">
        <v>0</v>
      </c>
      <c r="L29" s="253">
        <v>0</v>
      </c>
      <c r="M29" s="251">
        <v>0</v>
      </c>
    </row>
    <row r="30" spans="1:13" ht="19.5">
      <c r="A30" s="249"/>
      <c r="B30" s="351" t="s">
        <v>713</v>
      </c>
      <c r="C30" s="255">
        <v>0</v>
      </c>
      <c r="D30" s="254">
        <v>0</v>
      </c>
      <c r="E30" s="254">
        <v>0</v>
      </c>
      <c r="F30" s="254">
        <v>15000</v>
      </c>
      <c r="G30" s="254">
        <v>176404</v>
      </c>
      <c r="H30" s="254">
        <v>176404</v>
      </c>
      <c r="I30" s="254">
        <v>176404</v>
      </c>
      <c r="J30" s="254">
        <v>176404</v>
      </c>
      <c r="K30" s="253">
        <v>176404</v>
      </c>
      <c r="L30" s="253">
        <v>176419</v>
      </c>
      <c r="M30" s="251">
        <v>0</v>
      </c>
    </row>
    <row r="31" spans="1:13" ht="18.75" customHeight="1">
      <c r="A31" s="616" t="s">
        <v>717</v>
      </c>
      <c r="B31" s="617"/>
      <c r="C31" s="256">
        <f>C25+C26+C27+C28+C29+C30</f>
        <v>1142968</v>
      </c>
      <c r="D31" s="256">
        <f aca="true" t="shared" si="2" ref="D31:M31">D25+D26+D27+D28+D29+D30</f>
        <v>3329691</v>
      </c>
      <c r="E31" s="256">
        <f t="shared" si="2"/>
        <v>1426254</v>
      </c>
      <c r="F31" s="256">
        <f t="shared" si="2"/>
        <v>1455293</v>
      </c>
      <c r="G31" s="256">
        <f t="shared" si="2"/>
        <v>1652972</v>
      </c>
      <c r="H31" s="256">
        <f t="shared" si="2"/>
        <v>1462972</v>
      </c>
      <c r="I31" s="256">
        <f t="shared" si="2"/>
        <v>1462972</v>
      </c>
      <c r="J31" s="256">
        <f t="shared" si="2"/>
        <v>1462971</v>
      </c>
      <c r="K31" s="256">
        <f t="shared" si="2"/>
        <v>806404</v>
      </c>
      <c r="L31" s="256">
        <f t="shared" si="2"/>
        <v>176419</v>
      </c>
      <c r="M31" s="256">
        <f t="shared" si="2"/>
        <v>0</v>
      </c>
    </row>
    <row r="32" spans="1:13" ht="18.75" customHeight="1">
      <c r="A32" s="249"/>
      <c r="B32" s="257"/>
      <c r="C32" s="215"/>
      <c r="D32" s="258"/>
      <c r="E32" s="258"/>
      <c r="F32" s="258"/>
      <c r="G32" s="258"/>
      <c r="H32" s="259"/>
      <c r="I32" s="259"/>
      <c r="J32" s="249"/>
      <c r="K32" s="249"/>
      <c r="L32" s="249"/>
      <c r="M32" s="249"/>
    </row>
    <row r="33" spans="1:13" ht="16.5" customHeight="1">
      <c r="A33" s="249"/>
      <c r="B33" s="249"/>
      <c r="C33" s="249"/>
      <c r="D33" s="249"/>
      <c r="E33" s="249"/>
      <c r="F33" s="249"/>
      <c r="G33" s="608" t="s">
        <v>718</v>
      </c>
      <c r="H33" s="608"/>
      <c r="I33" s="608"/>
      <c r="J33" s="608"/>
      <c r="K33" s="608"/>
      <c r="L33" s="608"/>
      <c r="M33" s="608"/>
    </row>
    <row r="34" ht="16.5" customHeight="1"/>
    <row r="35" spans="9:11" ht="12.75" hidden="1">
      <c r="I35" s="482" t="s">
        <v>33</v>
      </c>
      <c r="J35" s="482"/>
      <c r="K35" s="482"/>
    </row>
  </sheetData>
  <mergeCells count="9">
    <mergeCell ref="I35:K35"/>
    <mergeCell ref="E1:M1"/>
    <mergeCell ref="G33:M33"/>
    <mergeCell ref="A5:A6"/>
    <mergeCell ref="B5:B6"/>
    <mergeCell ref="C5:C6"/>
    <mergeCell ref="D5:M5"/>
    <mergeCell ref="A4:M4"/>
    <mergeCell ref="A31:B31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E2" sqref="E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618" t="s">
        <v>779</v>
      </c>
      <c r="D2" s="618"/>
      <c r="E2" s="145"/>
      <c r="F2" s="145"/>
    </row>
    <row r="3" spans="1:9" ht="15.75">
      <c r="A3" s="620" t="s">
        <v>623</v>
      </c>
      <c r="B3" s="620"/>
      <c r="C3" s="620"/>
      <c r="D3" s="620"/>
      <c r="E3" s="620"/>
      <c r="F3" s="620"/>
      <c r="G3" s="620"/>
      <c r="H3" s="620"/>
      <c r="I3" s="620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ht="13.5" thickBot="1"/>
    <row r="6" spans="1:9" ht="24.75" customHeight="1">
      <c r="A6" s="625" t="s">
        <v>624</v>
      </c>
      <c r="B6" s="623" t="s">
        <v>625</v>
      </c>
      <c r="C6" s="621" t="s">
        <v>626</v>
      </c>
      <c r="D6" s="627" t="s">
        <v>646</v>
      </c>
      <c r="E6" s="93"/>
      <c r="F6" s="93"/>
      <c r="G6" s="619"/>
      <c r="H6" s="619"/>
      <c r="I6" s="619"/>
    </row>
    <row r="7" spans="1:9" ht="18.75" customHeight="1" thickBot="1">
      <c r="A7" s="626"/>
      <c r="B7" s="624"/>
      <c r="C7" s="622"/>
      <c r="D7" s="628"/>
      <c r="E7" s="93"/>
      <c r="F7" s="93"/>
      <c r="G7" s="619"/>
      <c r="H7" s="619"/>
      <c r="I7" s="619"/>
    </row>
    <row r="8" spans="1:6" ht="13.5" customHeight="1" thickBot="1">
      <c r="A8" s="56">
        <v>1</v>
      </c>
      <c r="B8" s="57">
        <v>2</v>
      </c>
      <c r="C8" s="58">
        <v>3</v>
      </c>
      <c r="D8" s="147">
        <v>5</v>
      </c>
      <c r="E8" s="146"/>
      <c r="F8" s="146"/>
    </row>
    <row r="9" spans="1:6" ht="18" customHeight="1" thickBot="1">
      <c r="A9" s="12" t="s">
        <v>628</v>
      </c>
      <c r="B9" s="59" t="s">
        <v>629</v>
      </c>
      <c r="C9" s="59"/>
      <c r="D9" s="149">
        <f>'Z1'!V180</f>
        <v>35821386</v>
      </c>
      <c r="E9" s="36"/>
      <c r="F9" s="36"/>
    </row>
    <row r="10" spans="1:6" ht="18" customHeight="1" thickBot="1">
      <c r="A10" s="60" t="s">
        <v>630</v>
      </c>
      <c r="B10" s="61" t="s">
        <v>631</v>
      </c>
      <c r="C10" s="61"/>
      <c r="D10" s="67">
        <f>'Z 2'!N501</f>
        <v>34299045</v>
      </c>
      <c r="E10" s="36"/>
      <c r="F10" s="36"/>
    </row>
    <row r="11" spans="1:6" ht="12.75">
      <c r="A11" s="62"/>
      <c r="B11" s="43" t="s">
        <v>632</v>
      </c>
      <c r="C11" s="35"/>
      <c r="D11" s="189">
        <f>D9-D10</f>
        <v>1522341</v>
      </c>
      <c r="E11" s="36"/>
      <c r="F11" s="36"/>
    </row>
    <row r="12" spans="1:6" ht="15.75" customHeight="1" thickBot="1">
      <c r="A12" s="63"/>
      <c r="B12" s="64" t="s">
        <v>633</v>
      </c>
      <c r="C12" s="64"/>
      <c r="D12" s="190">
        <f>D13-D22</f>
        <v>-1522341</v>
      </c>
      <c r="E12" s="36"/>
      <c r="F12" s="36"/>
    </row>
    <row r="13" spans="1:6" ht="15.75" customHeight="1" thickBot="1">
      <c r="A13" s="60" t="s">
        <v>634</v>
      </c>
      <c r="B13" s="66" t="s">
        <v>635</v>
      </c>
      <c r="C13" s="67"/>
      <c r="D13" s="68">
        <f>D14+D15+D16+D17+D18+D19+D20+D21</f>
        <v>1807350</v>
      </c>
      <c r="E13" s="91"/>
      <c r="F13" s="91"/>
    </row>
    <row r="14" spans="1:6" ht="12.75">
      <c r="A14" s="69" t="s">
        <v>636</v>
      </c>
      <c r="B14" s="43" t="s">
        <v>195</v>
      </c>
      <c r="C14" s="62" t="s">
        <v>757</v>
      </c>
      <c r="D14" s="189">
        <v>1766686</v>
      </c>
      <c r="E14" s="36"/>
      <c r="F14" s="36"/>
    </row>
    <row r="15" spans="1:6" ht="16.5" customHeight="1">
      <c r="A15" s="70" t="s">
        <v>637</v>
      </c>
      <c r="B15" s="8" t="s">
        <v>638</v>
      </c>
      <c r="C15" s="3" t="s">
        <v>757</v>
      </c>
      <c r="D15" s="191">
        <v>0</v>
      </c>
      <c r="E15" s="36"/>
      <c r="F15" s="36"/>
    </row>
    <row r="16" spans="1:6" ht="37.5" customHeight="1">
      <c r="A16" s="70" t="s">
        <v>639</v>
      </c>
      <c r="B16" s="9" t="s">
        <v>73</v>
      </c>
      <c r="C16" s="3" t="s">
        <v>42</v>
      </c>
      <c r="D16" s="191">
        <v>0</v>
      </c>
      <c r="E16" s="36"/>
      <c r="F16" s="36"/>
    </row>
    <row r="17" spans="1:6" ht="16.5" customHeight="1">
      <c r="A17" s="70" t="s">
        <v>641</v>
      </c>
      <c r="B17" s="8" t="s">
        <v>640</v>
      </c>
      <c r="C17" s="3" t="s">
        <v>758</v>
      </c>
      <c r="D17" s="191">
        <v>0</v>
      </c>
      <c r="E17" s="36"/>
      <c r="F17" s="36"/>
    </row>
    <row r="18" spans="1:6" ht="18" customHeight="1">
      <c r="A18" s="70" t="s">
        <v>643</v>
      </c>
      <c r="B18" s="8" t="s">
        <v>642</v>
      </c>
      <c r="C18" s="3" t="s">
        <v>759</v>
      </c>
      <c r="D18" s="191">
        <v>0</v>
      </c>
      <c r="E18" s="36"/>
      <c r="F18" s="36"/>
    </row>
    <row r="19" spans="1:6" ht="18.75" customHeight="1">
      <c r="A19" s="70" t="s">
        <v>676</v>
      </c>
      <c r="B19" s="9" t="s">
        <v>659</v>
      </c>
      <c r="C19" s="3" t="s">
        <v>760</v>
      </c>
      <c r="D19" s="191">
        <v>0</v>
      </c>
      <c r="E19" s="36"/>
      <c r="F19" s="36"/>
    </row>
    <row r="20" spans="1:6" ht="18.75" customHeight="1">
      <c r="A20" s="70" t="s">
        <v>678</v>
      </c>
      <c r="B20" s="9" t="s">
        <v>660</v>
      </c>
      <c r="C20" s="3" t="s">
        <v>761</v>
      </c>
      <c r="D20" s="191">
        <v>0</v>
      </c>
      <c r="E20" s="36"/>
      <c r="F20" s="36"/>
    </row>
    <row r="21" spans="1:6" ht="13.5" thickBot="1">
      <c r="A21" s="71" t="s">
        <v>661</v>
      </c>
      <c r="B21" s="72" t="s">
        <v>662</v>
      </c>
      <c r="C21" s="40" t="s">
        <v>758</v>
      </c>
      <c r="D21" s="190">
        <v>40664</v>
      </c>
      <c r="E21" s="36"/>
      <c r="F21" s="36"/>
    </row>
    <row r="22" spans="1:6" ht="15.75" customHeight="1" thickBot="1">
      <c r="A22" s="60" t="s">
        <v>663</v>
      </c>
      <c r="B22" s="73" t="s">
        <v>664</v>
      </c>
      <c r="C22" s="57"/>
      <c r="D22" s="68">
        <f>D23+D24+D25+D26+D27+D28+D29</f>
        <v>3329691</v>
      </c>
      <c r="E22" s="91"/>
      <c r="F22" s="91"/>
    </row>
    <row r="23" spans="1:6" ht="15.75" customHeight="1">
      <c r="A23" s="74" t="s">
        <v>636</v>
      </c>
      <c r="B23" s="75" t="s">
        <v>665</v>
      </c>
      <c r="C23" s="76" t="s">
        <v>762</v>
      </c>
      <c r="D23" s="192">
        <v>1406568</v>
      </c>
      <c r="E23" s="36"/>
      <c r="F23" s="36"/>
    </row>
    <row r="24" spans="1:6" ht="15.75" customHeight="1">
      <c r="A24" s="70" t="s">
        <v>637</v>
      </c>
      <c r="B24" s="8" t="s">
        <v>666</v>
      </c>
      <c r="C24" s="3" t="s">
        <v>763</v>
      </c>
      <c r="D24" s="191">
        <v>0</v>
      </c>
      <c r="E24" s="36"/>
      <c r="F24" s="36"/>
    </row>
    <row r="25" spans="1:6" ht="15.75" customHeight="1">
      <c r="A25" s="70" t="s">
        <v>639</v>
      </c>
      <c r="B25" s="8" t="s">
        <v>463</v>
      </c>
      <c r="C25" s="3" t="s">
        <v>762</v>
      </c>
      <c r="D25" s="191">
        <v>36000</v>
      </c>
      <c r="E25" s="36"/>
      <c r="F25" s="36"/>
    </row>
    <row r="26" spans="1:6" ht="39" customHeight="1">
      <c r="A26" s="70" t="s">
        <v>641</v>
      </c>
      <c r="B26" s="9" t="s">
        <v>23</v>
      </c>
      <c r="C26" s="3" t="s">
        <v>74</v>
      </c>
      <c r="D26" s="191">
        <v>1887123</v>
      </c>
      <c r="E26" s="36"/>
      <c r="F26" s="36"/>
    </row>
    <row r="27" spans="1:12" ht="15.75" customHeight="1">
      <c r="A27" s="70" t="s">
        <v>643</v>
      </c>
      <c r="B27" s="8" t="s">
        <v>667</v>
      </c>
      <c r="C27" s="3" t="s">
        <v>764</v>
      </c>
      <c r="D27" s="191">
        <v>0</v>
      </c>
      <c r="E27" s="36"/>
      <c r="F27" s="36"/>
      <c r="L27" s="36"/>
    </row>
    <row r="28" spans="1:6" ht="15.75" customHeight="1">
      <c r="A28" s="70" t="s">
        <v>676</v>
      </c>
      <c r="B28" s="8" t="s">
        <v>668</v>
      </c>
      <c r="C28" s="3" t="s">
        <v>765</v>
      </c>
      <c r="D28" s="191">
        <v>0</v>
      </c>
      <c r="E28" s="36"/>
      <c r="F28" s="36"/>
    </row>
    <row r="29" spans="1:6" ht="15.75" customHeight="1" thickBot="1">
      <c r="A29" s="39" t="s">
        <v>678</v>
      </c>
      <c r="B29" s="77" t="s">
        <v>669</v>
      </c>
      <c r="C29" s="78" t="s">
        <v>430</v>
      </c>
      <c r="D29" s="193">
        <v>0</v>
      </c>
      <c r="E29" s="36"/>
      <c r="F29" s="36"/>
    </row>
    <row r="30" spans="1:6" ht="24.75" customHeight="1">
      <c r="A30" s="156" t="s">
        <v>670</v>
      </c>
      <c r="B30" s="321" t="s">
        <v>434</v>
      </c>
      <c r="C30" s="157"/>
      <c r="D30" s="194">
        <f>D22</f>
        <v>3329691</v>
      </c>
      <c r="E30" s="36"/>
      <c r="F30" s="36"/>
    </row>
    <row r="31" spans="1:6" ht="24" customHeight="1">
      <c r="A31" s="71" t="s">
        <v>249</v>
      </c>
      <c r="B31" s="322" t="s">
        <v>253</v>
      </c>
      <c r="C31" s="40"/>
      <c r="D31" s="190">
        <f>D9-D30</f>
        <v>32491695</v>
      </c>
      <c r="E31" s="36"/>
      <c r="F31" s="36"/>
    </row>
    <row r="32" spans="1:6" ht="24.75" customHeight="1">
      <c r="A32" s="71" t="s">
        <v>254</v>
      </c>
      <c r="B32" s="322" t="s">
        <v>260</v>
      </c>
      <c r="C32" s="40"/>
      <c r="D32" s="190">
        <f>D10-D31</f>
        <v>1807350</v>
      </c>
      <c r="E32" s="36"/>
      <c r="F32" s="36"/>
    </row>
    <row r="33" spans="1:6" ht="40.5" customHeight="1" thickBot="1">
      <c r="A33" s="39" t="s">
        <v>175</v>
      </c>
      <c r="B33" s="323" t="s">
        <v>261</v>
      </c>
      <c r="C33" s="78"/>
      <c r="D33" s="193">
        <f>D13</f>
        <v>1807350</v>
      </c>
      <c r="E33" s="36"/>
      <c r="F33" s="36"/>
    </row>
    <row r="37" ht="30.75" customHeight="1">
      <c r="C37" t="s">
        <v>197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M7" sqref="M7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482"/>
      <c r="F1" s="482"/>
      <c r="G1" s="482"/>
      <c r="H1" s="482"/>
      <c r="I1" s="482"/>
      <c r="J1" s="482"/>
      <c r="K1" s="482"/>
    </row>
    <row r="2" spans="3:11" ht="34.5" customHeight="1">
      <c r="C2" s="632" t="s">
        <v>780</v>
      </c>
      <c r="D2" s="632"/>
      <c r="E2" s="632"/>
      <c r="F2" s="632"/>
      <c r="G2" s="632"/>
      <c r="H2" s="632"/>
      <c r="I2" s="632"/>
      <c r="J2" s="632"/>
      <c r="K2" s="632"/>
    </row>
    <row r="3" spans="3:11" ht="21" customHeight="1">
      <c r="C3" s="154"/>
      <c r="D3" s="154"/>
      <c r="E3" s="154"/>
      <c r="F3" s="154"/>
      <c r="G3" s="154"/>
      <c r="H3" s="154"/>
      <c r="I3" s="154"/>
      <c r="J3" s="154"/>
      <c r="K3" s="154"/>
    </row>
    <row r="4" spans="3:11" ht="24.75" customHeight="1">
      <c r="C4" s="642"/>
      <c r="D4" s="642"/>
      <c r="E4" s="642"/>
      <c r="F4" s="642"/>
      <c r="G4" s="642"/>
      <c r="H4" s="642"/>
      <c r="I4" s="642"/>
      <c r="J4" s="642"/>
      <c r="K4" s="642"/>
    </row>
    <row r="5" spans="1:11" ht="46.5" customHeight="1">
      <c r="A5" s="633" t="s">
        <v>71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</row>
    <row r="6" spans="1:1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9" customHeight="1">
      <c r="A7" s="630" t="s">
        <v>117</v>
      </c>
      <c r="B7" s="630" t="s">
        <v>115</v>
      </c>
      <c r="C7" s="638" t="s">
        <v>217</v>
      </c>
      <c r="D7" s="639"/>
      <c r="E7" s="634" t="s">
        <v>116</v>
      </c>
      <c r="F7" s="635"/>
      <c r="G7" s="638" t="s">
        <v>218</v>
      </c>
      <c r="H7" s="639"/>
      <c r="I7" s="112"/>
      <c r="J7" s="112"/>
      <c r="K7" s="629" t="s">
        <v>219</v>
      </c>
    </row>
    <row r="8" spans="1:11" ht="37.5" customHeight="1">
      <c r="A8" s="631"/>
      <c r="B8" s="631"/>
      <c r="C8" s="640"/>
      <c r="D8" s="641"/>
      <c r="E8" s="636"/>
      <c r="F8" s="637"/>
      <c r="G8" s="640"/>
      <c r="H8" s="641"/>
      <c r="I8" s="114"/>
      <c r="J8" s="114"/>
      <c r="K8" s="629"/>
    </row>
    <row r="9" spans="1:11" ht="14.25" customHeight="1">
      <c r="A9" s="111">
        <v>1</v>
      </c>
      <c r="B9" s="111">
        <v>2</v>
      </c>
      <c r="C9" s="113">
        <v>3</v>
      </c>
      <c r="D9" s="114"/>
      <c r="E9" s="115">
        <v>4</v>
      </c>
      <c r="F9" s="116"/>
      <c r="G9" s="2">
        <v>7</v>
      </c>
      <c r="H9" s="2"/>
      <c r="I9" s="2"/>
      <c r="J9" s="2"/>
      <c r="K9" s="84">
        <v>10</v>
      </c>
    </row>
    <row r="10" spans="1:11" ht="38.25">
      <c r="A10" s="7" t="s">
        <v>628</v>
      </c>
      <c r="B10" s="4" t="s">
        <v>72</v>
      </c>
      <c r="C10" s="7">
        <f>C12+C15+C17+C19+C22+C23</f>
        <v>39880</v>
      </c>
      <c r="D10" s="7">
        <f aca="true" t="shared" si="0" ref="D10:K10">D12+D15+D17+D19+D22+D23</f>
        <v>12743</v>
      </c>
      <c r="E10" s="7">
        <f t="shared" si="0"/>
        <v>260315</v>
      </c>
      <c r="F10" s="7">
        <f t="shared" si="0"/>
        <v>213750</v>
      </c>
      <c r="G10" s="7">
        <f t="shared" si="0"/>
        <v>296174</v>
      </c>
      <c r="H10" s="7">
        <f t="shared" si="0"/>
        <v>219384</v>
      </c>
      <c r="I10" s="7">
        <f t="shared" si="0"/>
        <v>0</v>
      </c>
      <c r="J10" s="7">
        <f t="shared" si="0"/>
        <v>0</v>
      </c>
      <c r="K10" s="7">
        <f t="shared" si="0"/>
        <v>4021</v>
      </c>
    </row>
    <row r="11" spans="1:11" ht="25.5" hidden="1">
      <c r="A11" s="8" t="s">
        <v>636</v>
      </c>
      <c r="B11" s="9" t="s">
        <v>193</v>
      </c>
      <c r="C11" s="8">
        <v>0</v>
      </c>
      <c r="D11" s="8">
        <v>5558</v>
      </c>
      <c r="E11" s="8">
        <v>0</v>
      </c>
      <c r="F11" s="8">
        <v>182220</v>
      </c>
      <c r="G11" s="8">
        <v>0</v>
      </c>
      <c r="H11" s="8">
        <v>181928</v>
      </c>
      <c r="I11" s="8"/>
      <c r="J11" s="8"/>
      <c r="K11" s="8">
        <f>C11+E11-G11</f>
        <v>0</v>
      </c>
    </row>
    <row r="12" spans="1:11" ht="29.25" customHeight="1">
      <c r="A12" s="8" t="s">
        <v>636</v>
      </c>
      <c r="B12" s="9" t="s">
        <v>720</v>
      </c>
      <c r="C12" s="8">
        <v>6048</v>
      </c>
      <c r="D12" s="8">
        <v>2200</v>
      </c>
      <c r="E12" s="8">
        <v>97000</v>
      </c>
      <c r="F12" s="8">
        <v>99450</v>
      </c>
      <c r="G12" s="8">
        <v>103048</v>
      </c>
      <c r="H12" s="8">
        <v>100550</v>
      </c>
      <c r="I12" s="8"/>
      <c r="J12" s="8"/>
      <c r="K12" s="8">
        <f>C12+E12-G12</f>
        <v>0</v>
      </c>
    </row>
    <row r="13" spans="1:11" ht="25.5" hidden="1">
      <c r="A13" s="8" t="s">
        <v>639</v>
      </c>
      <c r="B13" s="9" t="s">
        <v>118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>
        <v>0</v>
      </c>
    </row>
    <row r="14" spans="1:11" ht="25.5" hidden="1">
      <c r="A14" s="8" t="s">
        <v>641</v>
      </c>
      <c r="B14" s="9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>
        <v>0</v>
      </c>
    </row>
    <row r="15" spans="1:11" ht="35.25" customHeight="1">
      <c r="A15" s="8">
        <v>2</v>
      </c>
      <c r="B15" s="9" t="s">
        <v>174</v>
      </c>
      <c r="C15" s="8">
        <v>5660</v>
      </c>
      <c r="D15" s="8">
        <v>6009</v>
      </c>
      <c r="E15" s="8">
        <v>89592</v>
      </c>
      <c r="F15" s="8">
        <v>101000</v>
      </c>
      <c r="G15" s="8">
        <v>92252</v>
      </c>
      <c r="H15" s="8">
        <v>101000</v>
      </c>
      <c r="I15" s="8"/>
      <c r="J15" s="8"/>
      <c r="K15" s="8">
        <f>C15+E15-G15</f>
        <v>3000</v>
      </c>
    </row>
    <row r="16" spans="1:11" ht="25.5" hidden="1">
      <c r="A16" s="8" t="s">
        <v>676</v>
      </c>
      <c r="B16" s="9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>
        <v>0</v>
      </c>
    </row>
    <row r="17" spans="1:11" ht="51.75" customHeight="1">
      <c r="A17" s="8">
        <v>3</v>
      </c>
      <c r="B17" s="9" t="s">
        <v>173</v>
      </c>
      <c r="C17" s="8">
        <v>5521</v>
      </c>
      <c r="D17" s="8">
        <v>0</v>
      </c>
      <c r="E17" s="8">
        <v>8080</v>
      </c>
      <c r="F17" s="8">
        <v>8100</v>
      </c>
      <c r="G17" s="8">
        <v>12580</v>
      </c>
      <c r="H17" s="8">
        <v>8100</v>
      </c>
      <c r="I17" s="8"/>
      <c r="J17" s="8"/>
      <c r="K17" s="8">
        <f>C17+E17-G17</f>
        <v>1021</v>
      </c>
    </row>
    <row r="18" spans="1:11" ht="25.5" hidden="1">
      <c r="A18" s="8" t="s">
        <v>661</v>
      </c>
      <c r="B18" s="9" t="s">
        <v>123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>
        <v>0</v>
      </c>
    </row>
    <row r="19" spans="1:11" ht="27" customHeight="1">
      <c r="A19" s="8">
        <v>4</v>
      </c>
      <c r="B19" s="9" t="s">
        <v>124</v>
      </c>
      <c r="C19" s="8">
        <v>4226</v>
      </c>
      <c r="D19" s="8">
        <v>4534</v>
      </c>
      <c r="E19" s="8">
        <v>25140</v>
      </c>
      <c r="F19" s="8">
        <v>5200</v>
      </c>
      <c r="G19" s="8">
        <v>29366</v>
      </c>
      <c r="H19" s="8">
        <v>9734</v>
      </c>
      <c r="I19" s="8"/>
      <c r="J19" s="8"/>
      <c r="K19" s="8">
        <f>C19+E19-G19</f>
        <v>0</v>
      </c>
    </row>
    <row r="20" spans="1:11" ht="27" customHeight="1" hidden="1">
      <c r="A20" s="8" t="s">
        <v>721</v>
      </c>
      <c r="B20" s="9" t="s">
        <v>125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>
        <v>0</v>
      </c>
    </row>
    <row r="21" spans="1:11" ht="25.5" hidden="1">
      <c r="A21" s="8" t="s">
        <v>676</v>
      </c>
      <c r="B21" s="9" t="s">
        <v>722</v>
      </c>
      <c r="C21" s="8">
        <v>0</v>
      </c>
      <c r="D21" s="8">
        <v>0</v>
      </c>
      <c r="E21" s="8">
        <v>15000</v>
      </c>
      <c r="F21" s="8">
        <v>23500</v>
      </c>
      <c r="G21" s="8">
        <v>15000</v>
      </c>
      <c r="H21" s="8">
        <v>23500</v>
      </c>
      <c r="I21" s="8"/>
      <c r="J21" s="8"/>
      <c r="K21" s="8">
        <f>C21+E21-G21</f>
        <v>0</v>
      </c>
    </row>
    <row r="22" spans="1:11" ht="33" customHeight="1">
      <c r="A22" s="8">
        <v>5</v>
      </c>
      <c r="B22" s="9" t="s">
        <v>722</v>
      </c>
      <c r="C22" s="8">
        <v>18425</v>
      </c>
      <c r="D22" s="8">
        <v>0</v>
      </c>
      <c r="E22" s="8">
        <v>30000</v>
      </c>
      <c r="F22" s="8">
        <v>0</v>
      </c>
      <c r="G22" s="8">
        <v>48425</v>
      </c>
      <c r="H22" s="8">
        <v>0</v>
      </c>
      <c r="I22" s="8"/>
      <c r="J22" s="8"/>
      <c r="K22" s="8">
        <f>C22+E22-G22</f>
        <v>0</v>
      </c>
    </row>
    <row r="23" spans="1:11" ht="33.75" customHeight="1">
      <c r="A23" s="8" t="s">
        <v>678</v>
      </c>
      <c r="B23" s="9" t="s">
        <v>126</v>
      </c>
      <c r="C23" s="8">
        <v>0</v>
      </c>
      <c r="D23" s="8">
        <v>0</v>
      </c>
      <c r="E23" s="8">
        <v>10503</v>
      </c>
      <c r="F23" s="8">
        <v>0</v>
      </c>
      <c r="G23" s="8">
        <v>10503</v>
      </c>
      <c r="H23" s="8">
        <v>0</v>
      </c>
      <c r="I23" s="8"/>
      <c r="J23" s="8"/>
      <c r="K23" s="8">
        <f>E23-G23</f>
        <v>0</v>
      </c>
    </row>
    <row r="24" spans="4:10" ht="35.25" customHeight="1">
      <c r="D24" s="8"/>
      <c r="F24" s="8"/>
      <c r="H24" s="8"/>
      <c r="I24" s="8"/>
      <c r="J24" s="8"/>
    </row>
    <row r="27" ht="12.75">
      <c r="E27" t="s">
        <v>197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2006-06-26T10:05:46Z</cp:lastPrinted>
  <dcterms:created xsi:type="dcterms:W3CDTF">2002-03-22T09:59:04Z</dcterms:created>
  <dcterms:modified xsi:type="dcterms:W3CDTF">2006-06-30T11:17:58Z</dcterms:modified>
  <cp:category/>
  <cp:version/>
  <cp:contentType/>
  <cp:contentStatus/>
</cp:coreProperties>
</file>