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6600" tabRatio="601" activeTab="1"/>
  </bookViews>
  <sheets>
    <sheet name="Z1.1" sheetId="1" r:id="rId1"/>
    <sheet name="1.2" sheetId="2" r:id="rId2"/>
    <sheet name="1.3" sheetId="3" r:id="rId3"/>
    <sheet name="1.4" sheetId="4" r:id="rId4"/>
    <sheet name="1.5" sheetId="5" r:id="rId5"/>
    <sheet name="1.6" sheetId="6" r:id="rId6"/>
    <sheet name="1.7" sheetId="7" r:id="rId7"/>
    <sheet name="1.8" sheetId="8" r:id="rId8"/>
    <sheet name="1.9" sheetId="9" r:id="rId9"/>
    <sheet name="1.10" sheetId="10" r:id="rId10"/>
    <sheet name="1.11" sheetId="11" r:id="rId11"/>
    <sheet name="1.12" sheetId="12" r:id="rId12"/>
    <sheet name="1.13" sheetId="13" r:id="rId13"/>
    <sheet name="1.14" sheetId="14" r:id="rId14"/>
    <sheet name="1.15" sheetId="15" r:id="rId15"/>
  </sheets>
  <definedNames>
    <definedName name="_xlnm.Print_Area" localSheetId="1">'1.2'!$A$1:$P$518</definedName>
    <definedName name="_xlnm.Print_Area" localSheetId="2">'1.3'!$A$1:$J$122</definedName>
    <definedName name="_xlnm.Print_Area" localSheetId="4">'1.5'!$A$1:$J$81</definedName>
    <definedName name="_xlnm.Print_Area" localSheetId="5">'1.6'!$A$1:$G$42</definedName>
    <definedName name="_xlnm.Print_Area" localSheetId="6">'1.7'!$A$1:$L$24</definedName>
    <definedName name="_xlnm.Print_Area" localSheetId="0">'Z1.1'!$A$1:$U$226</definedName>
    <definedName name="_xlnm.Print_Titles" localSheetId="1">'1.2'!$4:$7</definedName>
    <definedName name="_xlnm.Print_Titles" localSheetId="2">'1.3'!$3:$5</definedName>
    <definedName name="_xlnm.Print_Titles" localSheetId="3">'1.4'!$4:$6</definedName>
  </definedNames>
  <calcPr fullCalcOnLoad="1"/>
</workbook>
</file>

<file path=xl/sharedStrings.xml><?xml version="1.0" encoding="utf-8"?>
<sst xmlns="http://schemas.openxmlformats.org/spreadsheetml/2006/main" count="2281" uniqueCount="846">
  <si>
    <t>PLAN DOCHODÓW BUDŻETU POWIATU NA ROK 2006</t>
  </si>
  <si>
    <t>Lp.</t>
  </si>
  <si>
    <t>WYSZCZEGÓLNIENIE</t>
  </si>
  <si>
    <t>Klasyfikacja</t>
  </si>
  <si>
    <t>Plan 2002</t>
  </si>
  <si>
    <t>Zmiana planu</t>
  </si>
  <si>
    <t>Plan  2003</t>
  </si>
  <si>
    <t>zwiększenia /+/</t>
  </si>
  <si>
    <t>zmniejszenia /-/</t>
  </si>
  <si>
    <t>Przewidywa-ne wykon. w 2000</t>
  </si>
  <si>
    <t>Plan 2001</t>
  </si>
  <si>
    <t>Wzrost w %   7:6</t>
  </si>
  <si>
    <t>strukt. procentowa</t>
  </si>
  <si>
    <t>zwiększenia (+)</t>
  </si>
  <si>
    <t>zmniejszenia (-)</t>
  </si>
  <si>
    <t>/+/ zwiększenia</t>
  </si>
  <si>
    <t xml:space="preserve"> /-/ zmniejszenia</t>
  </si>
  <si>
    <t>p.w. 2000</t>
  </si>
  <si>
    <t>Nazwa działu, rozdziału</t>
  </si>
  <si>
    <t>Dz.</t>
  </si>
  <si>
    <t>Rozdział</t>
  </si>
  <si>
    <t>§</t>
  </si>
  <si>
    <t>1.</t>
  </si>
  <si>
    <t>Rolnictwo i łowiectwo</t>
  </si>
  <si>
    <t>010</t>
  </si>
  <si>
    <t>a)</t>
  </si>
  <si>
    <t>Prace geodezyjno - urządzeniowe na potrzeby rolnictwa</t>
  </si>
  <si>
    <t>01005</t>
  </si>
  <si>
    <t>Inspekcja Weterynaryjna</t>
  </si>
  <si>
    <t>01021</t>
  </si>
  <si>
    <t>pozostałe odsetki</t>
  </si>
  <si>
    <t>0920</t>
  </si>
  <si>
    <t>b)</t>
  </si>
  <si>
    <t>Pozostała działalność</t>
  </si>
  <si>
    <t>01095</t>
  </si>
  <si>
    <t>wpływy z różnych opłat</t>
  </si>
  <si>
    <t>0690</t>
  </si>
  <si>
    <t>2.</t>
  </si>
  <si>
    <t>Leśnictwo</t>
  </si>
  <si>
    <t>020</t>
  </si>
  <si>
    <t>Gospodarka leśna</t>
  </si>
  <si>
    <t>02001</t>
  </si>
  <si>
    <t>Środki otrzymane od pozostałych jedn. sektora f.p.</t>
  </si>
  <si>
    <t>2460</t>
  </si>
  <si>
    <t>3.</t>
  </si>
  <si>
    <t>Transport i Łączność</t>
  </si>
  <si>
    <t>600</t>
  </si>
  <si>
    <t>drogi publiczne powiatowe</t>
  </si>
  <si>
    <t>60014</t>
  </si>
  <si>
    <t>grzywny, mandaty i inne kary pieniężne od ludności</t>
  </si>
  <si>
    <t>0570</t>
  </si>
  <si>
    <t>dochody z najmu i dzierżawy składników majątkowych</t>
  </si>
  <si>
    <t>0750</t>
  </si>
  <si>
    <t>wpływy z usług</t>
  </si>
  <si>
    <t>0830</t>
  </si>
  <si>
    <t>wpływy z różnych dochodów</t>
  </si>
  <si>
    <t>0970</t>
  </si>
  <si>
    <t>097</t>
  </si>
  <si>
    <t xml:space="preserve">środki na finan. własnych inwest. pozysk.z innych źródeł </t>
  </si>
  <si>
    <t>środki na finansowanie własnych inwest.pozysk. z innych źródeł</t>
  </si>
  <si>
    <t>6439</t>
  </si>
  <si>
    <t>dotacje celowe otrzymane z gmin na inwestycje</t>
  </si>
  <si>
    <t>4.</t>
  </si>
  <si>
    <t>Gospodarka mieszkaniowa oraz niemat.usł.komun.</t>
  </si>
  <si>
    <t>700</t>
  </si>
  <si>
    <t>Gospodarka gruntami i nieruchomościami.</t>
  </si>
  <si>
    <t>70005</t>
  </si>
  <si>
    <t>wpływy ze sprzedaży skł.majątk.</t>
  </si>
  <si>
    <t>0870</t>
  </si>
  <si>
    <t>wpływy z różnych doch.</t>
  </si>
  <si>
    <t>dotacje celowe z zakresu administracji rządowej</t>
  </si>
  <si>
    <t>5.</t>
  </si>
  <si>
    <t>Działalność usługowa</t>
  </si>
  <si>
    <t>Prace geodezyjne i kartograficzne (nieinwestycyjne)</t>
  </si>
  <si>
    <t>Opracowania geodezyjne i kartograficzne</t>
  </si>
  <si>
    <t>c)</t>
  </si>
  <si>
    <t>Nadzór budowlany</t>
  </si>
  <si>
    <t>6.</t>
  </si>
  <si>
    <t>Administracja publiczna</t>
  </si>
  <si>
    <t xml:space="preserve">Urzędy wojewódzkie                                 </t>
  </si>
  <si>
    <t>Starostwa Powiatowe</t>
  </si>
  <si>
    <t>wpływy z opłaty komunikacyjnej</t>
  </si>
  <si>
    <t>0420</t>
  </si>
  <si>
    <t>083</t>
  </si>
  <si>
    <t>Komisje poborowe</t>
  </si>
  <si>
    <t>7.</t>
  </si>
  <si>
    <t>Bezpieczeństwo publiczne i ochrona przeciwpożarowa</t>
  </si>
  <si>
    <t>Komendy Powiatowe Państwowej Straży Pożarnej</t>
  </si>
  <si>
    <t>Obrona cywilna</t>
  </si>
  <si>
    <t>75095</t>
  </si>
  <si>
    <t>Spadki, zapisy i darowizny w formie pieniężnej</t>
  </si>
  <si>
    <t>096</t>
  </si>
  <si>
    <t>Komendy Powiatowe Policji</t>
  </si>
  <si>
    <t>092</t>
  </si>
  <si>
    <t>75411</t>
  </si>
  <si>
    <t>8.</t>
  </si>
  <si>
    <t>Dochody od osób prawnych,  fizycznych i  innych jedn.nie posiad.osobow.prawnej</t>
  </si>
  <si>
    <t>756</t>
  </si>
  <si>
    <t>Udziały powiatu w podatkach stanow.dochód budżetu państwa</t>
  </si>
  <si>
    <t>75622</t>
  </si>
  <si>
    <t>podatek doch.od osób fizyczn.</t>
  </si>
  <si>
    <t>0010</t>
  </si>
  <si>
    <t>podatek doch.od osób prawnych</t>
  </si>
  <si>
    <t>0020</t>
  </si>
  <si>
    <t>9.</t>
  </si>
  <si>
    <t>Różne rozliczenia</t>
  </si>
  <si>
    <t>część oświatowa subwencji ogólnej dla jst</t>
  </si>
  <si>
    <t>subwencje ogólne z udżetu państwa</t>
  </si>
  <si>
    <t>2920</t>
  </si>
  <si>
    <t>część wyrównawcza subwencji ogólnej dla powiatów</t>
  </si>
  <si>
    <t>subwencje ogólne z budżetu państwa</t>
  </si>
  <si>
    <t>Różne rozliczenia finansowe</t>
  </si>
  <si>
    <t>d)</t>
  </si>
  <si>
    <t>część równoważąca subwencji ogólnej dla powiatów</t>
  </si>
  <si>
    <t>subwencja ogólna z budżetu państwa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</si>
  <si>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</si>
  <si>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</si>
  <si>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</si>
  <si>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10.</t>
  </si>
  <si>
    <t>Oświata i wychowanie</t>
  </si>
  <si>
    <t>801</t>
  </si>
  <si>
    <t>Licea Ogólnokształcące</t>
  </si>
  <si>
    <t>80120</t>
  </si>
  <si>
    <t xml:space="preserve">dochody z najmu i dzierżawy składników majątkowych </t>
  </si>
  <si>
    <t>Szkoły zawodowe</t>
  </si>
  <si>
    <t>80130</t>
  </si>
  <si>
    <t>069</t>
  </si>
  <si>
    <t>dochody z najmu i dzierżawy składników majątkowych Skarbu Państwa lub j.s.t. oraz innych umów o podobym charakterze</t>
  </si>
  <si>
    <t>075</t>
  </si>
  <si>
    <t>80195</t>
  </si>
  <si>
    <t>Ochrona zdrowia</t>
  </si>
  <si>
    <t>851</t>
  </si>
  <si>
    <t>Szpitale ogólne</t>
  </si>
  <si>
    <t>85111</t>
  </si>
  <si>
    <t>11.</t>
  </si>
  <si>
    <t>Szkolnictwo wyższe</t>
  </si>
  <si>
    <t>pomoc materialna dla studentów</t>
  </si>
  <si>
    <t>dotacja celowa otrzymana przez j.s.t. od innej j.s.t. będącej instytucją wdrażającą na zadania bieżące realizowane na podstawie porozumień i umów</t>
  </si>
  <si>
    <t>12.</t>
  </si>
  <si>
    <t>wpłaty z  zysku jednoosobowych spółek samorządu tertytorailnego</t>
  </si>
  <si>
    <t>0730</t>
  </si>
  <si>
    <t>dochody z najmu i dzierżawy skł.majątk.</t>
  </si>
  <si>
    <t>Skł.na ubezp.zdrow.dla os.nie obj.obow.ubezp.</t>
  </si>
  <si>
    <t>dotacje celowe na zadania z zakresu administracji rządowej</t>
  </si>
  <si>
    <t>13.</t>
  </si>
  <si>
    <t>Pomoc społeczna</t>
  </si>
  <si>
    <t>Placówki opiekuńczo - wychowawcze</t>
  </si>
  <si>
    <t>85201</t>
  </si>
  <si>
    <t>wpływy od rodziców z tyt. odpłatności za utrzymanie dzieci</t>
  </si>
  <si>
    <t>0680</t>
  </si>
  <si>
    <t xml:space="preserve">dotacje celowe otrzymane z powiatów na zadania bieżące </t>
  </si>
  <si>
    <t>Domy Pomocy Społecznej</t>
  </si>
  <si>
    <t>85202</t>
  </si>
  <si>
    <t>dotacje celowe na zadania własne powiatu</t>
  </si>
  <si>
    <t>Rodziny zastępcze</t>
  </si>
  <si>
    <t>85204</t>
  </si>
  <si>
    <t>Powiatowe Centra Pomocy Rodzinie</t>
  </si>
  <si>
    <t>85218</t>
  </si>
  <si>
    <t>Opieka społeczna*</t>
  </si>
  <si>
    <t>853</t>
  </si>
  <si>
    <t>85301</t>
  </si>
  <si>
    <t>85302</t>
  </si>
  <si>
    <t>85304</t>
  </si>
  <si>
    <t>85318</t>
  </si>
  <si>
    <t>PFRON</t>
  </si>
  <si>
    <t>85324</t>
  </si>
  <si>
    <t>2320</t>
  </si>
  <si>
    <t>Pow.Centra Pomocy Rodzinie</t>
  </si>
  <si>
    <t>Pozostałe zadania w zakresie polityki społecznej</t>
  </si>
  <si>
    <t>Powiatowe Urzędy Pracy</t>
  </si>
  <si>
    <t>85333</t>
  </si>
  <si>
    <t>15.</t>
  </si>
  <si>
    <t>Edukacyjna opieka wychowawcza</t>
  </si>
  <si>
    <t>854</t>
  </si>
  <si>
    <t>Specjalne ośrodki szkolno - wychowawcze</t>
  </si>
  <si>
    <t>85403</t>
  </si>
  <si>
    <t>wpływy od rodziców z tyt.odpłatności z utrzym.dzieci</t>
  </si>
  <si>
    <t>Poradnie psychologiczno-pedagogiczne</t>
  </si>
  <si>
    <t>85406</t>
  </si>
  <si>
    <t>Internaty i bursy szkolne</t>
  </si>
  <si>
    <t>85410</t>
  </si>
  <si>
    <t>Kultura i ochrona dziedzictwa narodowego</t>
  </si>
  <si>
    <t>921</t>
  </si>
  <si>
    <t>92195</t>
  </si>
  <si>
    <t>Pomoc materialna dla uczniów</t>
  </si>
  <si>
    <t>85415</t>
  </si>
  <si>
    <t>16.</t>
  </si>
  <si>
    <t>Gospodarka komunalna i ochrona środowiska</t>
  </si>
  <si>
    <t>dotacja na dofinansowanie kosztów realizacji zakupów inwestycyjnych jednostek sektora finansów publicznych</t>
  </si>
  <si>
    <t>Biblioteki</t>
  </si>
  <si>
    <t>DOCHODY OGÓŁEM</t>
  </si>
  <si>
    <t>1. Dotacje celowe</t>
  </si>
  <si>
    <t>- na zadania własne (§ 2130 i § 6430)</t>
  </si>
  <si>
    <t>- uzysk.z f.celowych (§ 244, 626)</t>
  </si>
  <si>
    <t xml:space="preserve">- w ramach porozumień (umów) z j.s.t </t>
  </si>
  <si>
    <t>- z funduszy celowych (§ 6260 i 2440)</t>
  </si>
  <si>
    <t>- pozostałe dotacje ( z f.cel.) i środki z innych źródeł</t>
  </si>
  <si>
    <t xml:space="preserve">2. Dochody własne </t>
  </si>
  <si>
    <t>Przewodniczący Rady Powiatu: Wacław Sapieha</t>
  </si>
  <si>
    <t>Struktura procentowa ( 8/9 )</t>
  </si>
  <si>
    <t>Wykonanie 2005</t>
  </si>
  <si>
    <t>Plan 2005</t>
  </si>
  <si>
    <t>Załącznik nr 1.2</t>
  </si>
  <si>
    <t>Dział, rozdz.</t>
  </si>
  <si>
    <t>plan 2003</t>
  </si>
  <si>
    <t>zmiana planu</t>
  </si>
  <si>
    <t>w tym</t>
  </si>
  <si>
    <t>% planu</t>
  </si>
  <si>
    <t>przewid. wykon.w 2000</t>
  </si>
  <si>
    <t>Zwieksze -nia (+)</t>
  </si>
  <si>
    <t>zmniejsze-nia (-)</t>
  </si>
  <si>
    <t>zad.z zakresu admin.rząd.</t>
  </si>
  <si>
    <t>zadania własne</t>
  </si>
  <si>
    <t>porozum.i umowy</t>
  </si>
  <si>
    <t>ROLNICTWO I ŁOWIECTWO</t>
  </si>
  <si>
    <t>3020</t>
  </si>
  <si>
    <t>Wyd. os.nie zalicz.do wynagr.</t>
  </si>
  <si>
    <t>3030</t>
  </si>
  <si>
    <t>Różne wydatki narzecz os.fiz.</t>
  </si>
  <si>
    <t>4430</t>
  </si>
  <si>
    <t>Różne opłaty i składki</t>
  </si>
  <si>
    <t>4440</t>
  </si>
  <si>
    <t>Odpis na ZFŚS</t>
  </si>
  <si>
    <t>01022</t>
  </si>
  <si>
    <t>Zwalczanie chorób zakaźnych zwierząt</t>
  </si>
  <si>
    <t>4210</t>
  </si>
  <si>
    <t>Zakup materiałów i wyposażenia</t>
  </si>
  <si>
    <t>Prace geodezyjno-urządzeniowe na potrzeby rolnictwa</t>
  </si>
  <si>
    <t>4300</t>
  </si>
  <si>
    <t>zakup usług pozostałych</t>
  </si>
  <si>
    <t>2310</t>
  </si>
  <si>
    <t>dotacje cel.przekazane gminie na zadania bieżące</t>
  </si>
  <si>
    <t>LEŚNICTWO</t>
  </si>
  <si>
    <t>Różne wydatki na rzecz os.fiz.</t>
  </si>
  <si>
    <t>02002</t>
  </si>
  <si>
    <t>Nadzór nad gospodarką leśną</t>
  </si>
  <si>
    <t>TRANSPORT I ŁĄCZNOŚĆ</t>
  </si>
  <si>
    <t>Drogi publicz.powiatowe</t>
  </si>
  <si>
    <t>4010</t>
  </si>
  <si>
    <t>Wynagrodzenia osobowe pracow.</t>
  </si>
  <si>
    <t>4040</t>
  </si>
  <si>
    <t>Dodatkowe wynagr.roczne</t>
  </si>
  <si>
    <t>4110</t>
  </si>
  <si>
    <t>Składki na ubez.społeczne</t>
  </si>
  <si>
    <t>4120</t>
  </si>
  <si>
    <t>Składki na F.Pracy</t>
  </si>
  <si>
    <t>nagrody i wyd.nie zal.do wynagr.</t>
  </si>
  <si>
    <t>4140</t>
  </si>
  <si>
    <t>Wpłaty na PFRON</t>
  </si>
  <si>
    <t>zakup materiałów i wyposażenia</t>
  </si>
  <si>
    <t>4260</t>
  </si>
  <si>
    <t>zakup energii</t>
  </si>
  <si>
    <t>4270</t>
  </si>
  <si>
    <t>zakup usług remontowych</t>
  </si>
  <si>
    <t>4410</t>
  </si>
  <si>
    <t>Podróże służbowe krajowe</t>
  </si>
  <si>
    <t>4480</t>
  </si>
  <si>
    <t>Podatek od nieruchomości</t>
  </si>
  <si>
    <t>6050</t>
  </si>
  <si>
    <t>Wyd. inwest.jed.budż.</t>
  </si>
  <si>
    <t>6060</t>
  </si>
  <si>
    <t>6610</t>
  </si>
  <si>
    <t>Zakupy inwestycyjne jedn.budżet.</t>
  </si>
  <si>
    <t>Dotacje przekazane gminie</t>
  </si>
  <si>
    <t>GOSPODARKA MIESZKANIOWA ORAZ NIEMAT.USŁUGI KOMUNAL.</t>
  </si>
  <si>
    <t>Gospodarka gruntami i nieruchomościami</t>
  </si>
  <si>
    <t>Zakup energii</t>
  </si>
  <si>
    <t>4500</t>
  </si>
  <si>
    <t>Pozostałe podatki na rzecz j.s.t.</t>
  </si>
  <si>
    <t>4520</t>
  </si>
  <si>
    <t>Opłaty na rzecz jst</t>
  </si>
  <si>
    <t>4530</t>
  </si>
  <si>
    <t>710</t>
  </si>
  <si>
    <t>DZIAŁALNOŚĆ USŁUGOWA</t>
  </si>
  <si>
    <t>71013</t>
  </si>
  <si>
    <t>71014</t>
  </si>
  <si>
    <t>71015</t>
  </si>
  <si>
    <t>Wynagr. osobowe pracowników</t>
  </si>
  <si>
    <t>4020</t>
  </si>
  <si>
    <t>Wynagr. os. czł. korp. sł. cywiln.</t>
  </si>
  <si>
    <t xml:space="preserve">4110 </t>
  </si>
  <si>
    <t>wydatki rzeczowe</t>
  </si>
  <si>
    <t xml:space="preserve">Wydatki na zakupy inwestycyjne </t>
  </si>
  <si>
    <t>750</t>
  </si>
  <si>
    <t>ADMINISTRACJA PUBLICZNA</t>
  </si>
  <si>
    <t>75011</t>
  </si>
  <si>
    <t>Urzędy wojewódzkie</t>
  </si>
  <si>
    <t>Wynagr.osobowe pracowników</t>
  </si>
  <si>
    <t>Składki na ubezp.społeczne</t>
  </si>
  <si>
    <t>Składki na F-sz Pracy</t>
  </si>
  <si>
    <t>Zakup usług pozostałych</t>
  </si>
  <si>
    <t>75018</t>
  </si>
  <si>
    <t>Urzędy marszałkowskie</t>
  </si>
  <si>
    <t>2330</t>
  </si>
  <si>
    <t>Dotacje cel.przekaz.do samorz.wojew.na zad.bież.realiz.na podst.poroz.umów między jst</t>
  </si>
  <si>
    <t>Urządy marszałkowskie</t>
  </si>
  <si>
    <t>Dotacje celowe przekazane do samorządu województwa</t>
  </si>
  <si>
    <t>75019</t>
  </si>
  <si>
    <t>Rady powiatów</t>
  </si>
  <si>
    <t>4420</t>
  </si>
  <si>
    <t>Podróże służbowe zagraniczne</t>
  </si>
  <si>
    <t>75020</t>
  </si>
  <si>
    <t>Starostwa powiatowe</t>
  </si>
  <si>
    <t>Nagr.i wydatki nie zal do wynagrodzeń</t>
  </si>
  <si>
    <t>Podatek od towarów i usług (VAT)</t>
  </si>
  <si>
    <t>Wydatki inwest.jedn.budżetowych</t>
  </si>
  <si>
    <t>6059</t>
  </si>
  <si>
    <t>75045</t>
  </si>
  <si>
    <t>754</t>
  </si>
  <si>
    <t>BEZPIECZEŃSTWO PUBLICZNE I OCHRONA PRZECIWPOŻAROWA</t>
  </si>
  <si>
    <t>Komendy powiatowe PSP</t>
  </si>
  <si>
    <t>Wyn.osobowe korpusu służby cywilnej</t>
  </si>
  <si>
    <t>4050</t>
  </si>
  <si>
    <t>Uposażenie funkcjonariuszy</t>
  </si>
  <si>
    <t>4060</t>
  </si>
  <si>
    <t>Pozostałe należności funkcjonariuszy</t>
  </si>
  <si>
    <t>4070</t>
  </si>
  <si>
    <t>Nagrody roczne funkcjonariuszy</t>
  </si>
  <si>
    <t>4080</t>
  </si>
  <si>
    <t xml:space="preserve">Uposaż.żołnierzy zawod.   i nadterminow. oraz funkcjonar. zwolnion. ze służby </t>
  </si>
  <si>
    <t>4220</t>
  </si>
  <si>
    <t>Zakup środków żywności</t>
  </si>
  <si>
    <t>4250</t>
  </si>
  <si>
    <t>Zakup sprzętu i uzbrojenia</t>
  </si>
  <si>
    <t>Zakup usług remontowych</t>
  </si>
  <si>
    <t>4280</t>
  </si>
  <si>
    <t>Zakup usług zdrowotnych</t>
  </si>
  <si>
    <t>Rózne opłaty i składki</t>
  </si>
  <si>
    <t>Opłaty na rzecz jst.</t>
  </si>
  <si>
    <t>757</t>
  </si>
  <si>
    <t>OBSŁUGA DŁUGU PUBLICZNEGO</t>
  </si>
  <si>
    <t>75702</t>
  </si>
  <si>
    <t xml:space="preserve">Obsługa papierów wartościowych, kredytów i pożyczek </t>
  </si>
  <si>
    <t>8070</t>
  </si>
  <si>
    <t xml:space="preserve">odsetki  od kraj. poż. i kredyt. </t>
  </si>
  <si>
    <t>75704</t>
  </si>
  <si>
    <t>Rozl. z tyt. poręcz. i gwar. udziel. przez  j.s.t.</t>
  </si>
  <si>
    <t>8020</t>
  </si>
  <si>
    <t>wypłaty z tyt.poręczeń kredyt.krajow.</t>
  </si>
  <si>
    <t>8040</t>
  </si>
  <si>
    <t>wypł.z tyt.pozost.poręcz.i gwar.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</si>
  <si>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</si>
  <si>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</si>
  <si>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</si>
  <si>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</si>
  <si>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</si>
  <si>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</si>
  <si>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</si>
  <si>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6800</t>
  </si>
  <si>
    <t>Rezerwy na inwest.i zak. inwest.</t>
  </si>
  <si>
    <t>OŚWIATA I WYCHOWANIE</t>
  </si>
  <si>
    <t>80102</t>
  </si>
  <si>
    <t>Szkoły podstawowe specjalne</t>
  </si>
  <si>
    <t>Nagr. i wyd.nie zal. do wynagrodzeń</t>
  </si>
  <si>
    <t>Nagr.i wyd.nie zal.do wynagr.</t>
  </si>
  <si>
    <t>Zakup mater. i wyposażenia</t>
  </si>
  <si>
    <t>Wydatki rzeczowe</t>
  </si>
  <si>
    <t>Wydatki inwestycyjne jed.budżetowych</t>
  </si>
  <si>
    <t>2540</t>
  </si>
  <si>
    <t>Dot.podmiot z budż. dla szkół niepub. (Centr.Ed. Specjalnej w Olecku)</t>
  </si>
  <si>
    <t>80111</t>
  </si>
  <si>
    <t>Gimnazja specjalne</t>
  </si>
  <si>
    <t>zakup materiałów i wyposaż.</t>
  </si>
  <si>
    <t>Nagr. i inne wyd. nie zal. do wynagr.</t>
  </si>
  <si>
    <t>zakup pomocy dydakt.i książek</t>
  </si>
  <si>
    <t>3250</t>
  </si>
  <si>
    <t>stypendia różne</t>
  </si>
  <si>
    <t xml:space="preserve">dotacje podmiotowe z budżetu dla szkół niepublicznych  </t>
  </si>
  <si>
    <t>80123</t>
  </si>
  <si>
    <t>Licea profilowane</t>
  </si>
  <si>
    <t>Dodatkowe wynagr. roczne</t>
  </si>
  <si>
    <t>Cent.eduk.Rozw.Zaw.Olecko</t>
  </si>
  <si>
    <t>Nagr.i wyd. nie zal do wynagrodzeń</t>
  </si>
  <si>
    <t>4240</t>
  </si>
  <si>
    <t>4610</t>
  </si>
  <si>
    <t>Koszty post.sądowego i prokuratorsk.</t>
  </si>
  <si>
    <t>Dotacje podmiotowe z budżetu dla szkół niepublicznych</t>
  </si>
  <si>
    <t>Wynagrodzenia osobowe pracowników</t>
  </si>
  <si>
    <t>wydatki inwest. jednost. budżet.</t>
  </si>
  <si>
    <t>6430</t>
  </si>
  <si>
    <t>80134</t>
  </si>
  <si>
    <t>Szkoły zawodowe specjalne</t>
  </si>
  <si>
    <t>Dot.podmiot z budż. dla szkół niepub. (Centrum Ed. Specjalnej w Olecku)</t>
  </si>
  <si>
    <t>80145</t>
  </si>
  <si>
    <t>Komisje egzaminacyjne</t>
  </si>
  <si>
    <t>80146</t>
  </si>
  <si>
    <t>Placówki dokształcania i doskonalenia nauczycieli</t>
  </si>
  <si>
    <t>Dotacje celowe przekazane do powiatu</t>
  </si>
  <si>
    <t>Stypendia różne</t>
  </si>
  <si>
    <t>OCHRONA ZDROWIA</t>
  </si>
  <si>
    <t>2560</t>
  </si>
  <si>
    <t>85132</t>
  </si>
  <si>
    <t>Nagr.i wydat.nie zal.do wynagr.</t>
  </si>
  <si>
    <t>85156</t>
  </si>
  <si>
    <t>skł. na ubezp. zdrow.osób nie obj. obow.ubezp.zdrow.</t>
  </si>
  <si>
    <t>4130</t>
  </si>
  <si>
    <t>Składki na ubezp.zdrow.</t>
  </si>
  <si>
    <t>852</t>
  </si>
  <si>
    <t>POMOC SPOŁECZNA</t>
  </si>
  <si>
    <t>Plac. opiekuń - wychowaw.</t>
  </si>
  <si>
    <t>Nagr. i wyd. nie zal. do wynagr.</t>
  </si>
  <si>
    <t>3110</t>
  </si>
  <si>
    <t>Świadczenia społeczne</t>
  </si>
  <si>
    <t>zakup środków żywności</t>
  </si>
  <si>
    <t>4230</t>
  </si>
  <si>
    <t>zakup leków i mater.medycz.</t>
  </si>
  <si>
    <t>2830</t>
  </si>
  <si>
    <t>Dot.cel.na zad.zlec.jedn.nie zal.do sektora fin.publ.</t>
  </si>
  <si>
    <t>Wydatki  inwest.jednostek budż.</t>
  </si>
  <si>
    <t xml:space="preserve">Rodziny zastępcze </t>
  </si>
  <si>
    <t>Dotacje celowe przekazane gminie</t>
  </si>
  <si>
    <t>85212</t>
  </si>
  <si>
    <t>Świad.rodzinne oraz skł. na ubezp.emeryt.i rentowe</t>
  </si>
  <si>
    <t>Powiatowe Centrum Pomocy Rodzinie</t>
  </si>
  <si>
    <t>85226</t>
  </si>
  <si>
    <t>Ośrodki adopcyjno-opiekuńcze</t>
  </si>
  <si>
    <t>Składki na ubezp. społeczne</t>
  </si>
  <si>
    <t>85295</t>
  </si>
  <si>
    <t>Państwiwy F.Rehabilitacji Osób Niepełnosprawnych</t>
  </si>
  <si>
    <t>Składki na Fundusz Pracy</t>
  </si>
  <si>
    <t>Wynagr .osobowe pracowników</t>
  </si>
  <si>
    <t>Wydatki na zakupy inwestycyjne</t>
  </si>
  <si>
    <t>EDUKACYJNA OPIEKA WYCHOWAWCZA</t>
  </si>
  <si>
    <t>Przedszkola specjalne</t>
  </si>
  <si>
    <t>Poradnie Psychol- Pedagog.</t>
  </si>
  <si>
    <t>zakup pom.nauk.dydakt.książek</t>
  </si>
  <si>
    <t>Wyd.na zakupy inwest. jed.budż</t>
  </si>
  <si>
    <t>85412</t>
  </si>
  <si>
    <t>Kolonie i obozy oraz inne formy wypoczynu dzieci i młodzieży  szkolnej</t>
  </si>
  <si>
    <t>Pomoc material. dla uczniów</t>
  </si>
  <si>
    <t>Wydatki inwestycyjne jed.budżet.</t>
  </si>
  <si>
    <t>3240</t>
  </si>
  <si>
    <t>Stypendia dla uczniów</t>
  </si>
  <si>
    <t>85417</t>
  </si>
  <si>
    <t>Szkolne schroniska młodz.</t>
  </si>
  <si>
    <t>85495</t>
  </si>
  <si>
    <t>KULTURA I OCHRONA DZIEDZICTWA NAROD.</t>
  </si>
  <si>
    <t>92116</t>
  </si>
  <si>
    <t>dot. cel. przek.  na zad. bież real. na podst.por.między j.s.t.</t>
  </si>
  <si>
    <t>926</t>
  </si>
  <si>
    <t>KULTURA FIZYCZNA I SPORT</t>
  </si>
  <si>
    <t>92601</t>
  </si>
  <si>
    <t>Obiekty sportowe</t>
  </si>
  <si>
    <t>Wydatki inwest.jednost. budżet</t>
  </si>
  <si>
    <t>92695</t>
  </si>
  <si>
    <t>2820</t>
  </si>
  <si>
    <t>dotacje podmiot.nie zal.do sekt.fin.publ.(stowarzyszenie)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</si>
  <si>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</si>
  <si>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</si>
  <si>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</si>
  <si>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</si>
  <si>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</si>
  <si>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</si>
  <si>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</si>
  <si>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</si>
  <si>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§ §  6050 , 6052,6059  wydatki inwestycyjne,   § 6060 wydatki na zakupy inwest.</t>
  </si>
  <si>
    <t xml:space="preserve">                                                                          </t>
  </si>
  <si>
    <t>Przewodniczący Rady Powiatu: Juliusz Uss</t>
  </si>
  <si>
    <t>Załącznik nr 1.3</t>
  </si>
  <si>
    <t>Dochody i wydatki związane z realizacją zadań z zakresu administracji rządowej  i innych zadań zleconych powiatowi ustawami</t>
  </si>
  <si>
    <t>Nazwa</t>
  </si>
  <si>
    <t xml:space="preserve">Dochody  </t>
  </si>
  <si>
    <t>Wydatki</t>
  </si>
  <si>
    <t>wykonanie</t>
  </si>
  <si>
    <t>% planu (6:5)</t>
  </si>
  <si>
    <t>Dział</t>
  </si>
  <si>
    <t>I</t>
  </si>
  <si>
    <t>DOCHODY SKARBU PAŃSTWA</t>
  </si>
  <si>
    <t xml:space="preserve"> </t>
  </si>
  <si>
    <t>01008</t>
  </si>
  <si>
    <t>235</t>
  </si>
  <si>
    <t>Komendy Powiatowe  PSP</t>
  </si>
  <si>
    <t>Inspekcja sanitarna</t>
  </si>
  <si>
    <t>II</t>
  </si>
  <si>
    <t>DOCHODY I WYDATKI ZWIĄZANE Z REALIZACJĄ ZADAŃ ZLECONYCH</t>
  </si>
  <si>
    <t>2110</t>
  </si>
  <si>
    <t>211</t>
  </si>
  <si>
    <t>Pozostałe podatki na rzecz jst</t>
  </si>
  <si>
    <t>Wynagr. osobowe korpusu służby cywil.</t>
  </si>
  <si>
    <t>6410</t>
  </si>
  <si>
    <t>Wydatki na zakupy inwest.</t>
  </si>
  <si>
    <t>Różne wydatki na rzecz osób fiz.</t>
  </si>
  <si>
    <t>75405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</si>
  <si>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</si>
  <si>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</si>
  <si>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</si>
  <si>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</si>
  <si>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>Uposaż.żołnierzy zawod. i nadtermin.oraz funkcjon. zwol. ze służby</t>
  </si>
  <si>
    <t xml:space="preserve">Składki na ubezp.społeczne </t>
  </si>
  <si>
    <t>Zakup środkó żywności</t>
  </si>
  <si>
    <t>Wynagr.osobow.korpusu służby cywilnej</t>
  </si>
  <si>
    <t>Uposaż. żołnierzy zawod.i  funkcjonar.</t>
  </si>
  <si>
    <t>Wydatki inwest.jedn.budżet.</t>
  </si>
  <si>
    <t>Składki na ubezp.zdr.os.nie obj.obow.ubezp.</t>
  </si>
  <si>
    <t>Składki na ubezp.zdrowotne</t>
  </si>
  <si>
    <t>Świadczenia rodzinne oraz zasiłki na ubezp.emeryt. i rentowe</t>
  </si>
  <si>
    <t>2120</t>
  </si>
  <si>
    <t>RAZEM:</t>
  </si>
  <si>
    <t xml:space="preserve">Załącznik nr 1.4 </t>
  </si>
  <si>
    <t>DOTACJE Z BUDŻETU PAŃSTWA NA REALIZACJĘ ZADAŃ WŁASNYCH POWIATU</t>
  </si>
  <si>
    <t>Dochody</t>
  </si>
  <si>
    <t>Wykonanie</t>
  </si>
  <si>
    <t>% planu (9:8)</t>
  </si>
  <si>
    <t>Zakup leków i mater.medycznych</t>
  </si>
  <si>
    <t>Pomoc material.dla uczniów</t>
  </si>
  <si>
    <t>OGÓŁEM DOTACJE NA ZADANIA WŁASNE</t>
  </si>
  <si>
    <t>* UWAGA dotacja na komisje egzaminacyjne po stronie dochodów klasyfikowana jest w rozdziale 80195</t>
  </si>
  <si>
    <t>natomiast po stronie wydatków - w rozdziale 80145</t>
  </si>
  <si>
    <t>Załącznik nr 1.5</t>
  </si>
  <si>
    <t>w tym:</t>
  </si>
  <si>
    <t xml:space="preserve"> - Gmina Olecko</t>
  </si>
  <si>
    <t>Drogi publiczne powiatowe</t>
  </si>
  <si>
    <t xml:space="preserve"> - Gmina Kowale Oleckie</t>
  </si>
  <si>
    <t xml:space="preserve"> - Gmina Wieliczki</t>
  </si>
  <si>
    <t xml:space="preserve"> - Gmina Świętajno</t>
  </si>
  <si>
    <t>- Powiat Ełcki</t>
  </si>
  <si>
    <t>Szkolne schroniska młodzieżowe</t>
  </si>
  <si>
    <t xml:space="preserve"> - Urząd Marszałkowski w Olsztynie</t>
  </si>
  <si>
    <t xml:space="preserve">- Gmina Olecko  (biblioteka)        </t>
  </si>
  <si>
    <t xml:space="preserve">RAZEM </t>
  </si>
  <si>
    <t xml:space="preserve">Załącznik Nr 1.6 </t>
  </si>
  <si>
    <t>Źródła sfinansowania deficytu lub rozdysponowania nadwyżki budżetowej</t>
  </si>
  <si>
    <t>Treść</t>
  </si>
  <si>
    <t>Klasyfikacja przychodów i rozchodów</t>
  </si>
  <si>
    <t>Przewidywane wykonanie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</si>
  <si>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</si>
  <si>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</si>
  <si>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</si>
  <si>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</si>
  <si>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</si>
  <si>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</si>
  <si>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</si>
  <si>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</si>
  <si>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Kredyty zaciągane w bankach krajowych*</t>
  </si>
  <si>
    <t>§  952</t>
  </si>
  <si>
    <t>Spłaty pożyczek udzielonych</t>
  </si>
  <si>
    <t>§  955</t>
  </si>
  <si>
    <t>Prywatyzacja majątku j.s.t.</t>
  </si>
  <si>
    <t>§ od 941 do 944</t>
  </si>
  <si>
    <t>Nadwyżka budżetu z lat ubiegłych</t>
  </si>
  <si>
    <t>§ 957</t>
  </si>
  <si>
    <t>Sprzedaż papierów wartościowych</t>
  </si>
  <si>
    <t>§  931</t>
  </si>
  <si>
    <t xml:space="preserve">Inne rozliczenia (wolne środki z tyt.rozl.kred.) </t>
  </si>
  <si>
    <t>IV.</t>
  </si>
  <si>
    <t>Rozchody ogółem:</t>
  </si>
  <si>
    <t>Spłata kredytu</t>
  </si>
  <si>
    <t>§  992</t>
  </si>
  <si>
    <t>Pożyczki udzielone</t>
  </si>
  <si>
    <t>§  995</t>
  </si>
  <si>
    <t>Spłaty pożyczek</t>
  </si>
  <si>
    <t>Wykup papierów wartościowych</t>
  </si>
  <si>
    <t>§  982</t>
  </si>
  <si>
    <t>Rozchody z tytułu innych rozliczeń</t>
  </si>
  <si>
    <t>rozdział</t>
  </si>
  <si>
    <t>x</t>
  </si>
  <si>
    <t>Powiatowy Zarząd Dróg w Olecku</t>
  </si>
  <si>
    <t>Załącznik Nr 1.9</t>
  </si>
  <si>
    <t>Lp</t>
  </si>
  <si>
    <t>Wyszczególnienie</t>
  </si>
  <si>
    <t>Stan środków pieniężnych  na początku roku</t>
  </si>
  <si>
    <t>Stan środków pieniężnych  na koniec roku</t>
  </si>
  <si>
    <t>Środki specjalne ogółem,    w tym:</t>
  </si>
  <si>
    <t>Zespół Szkół Technicznych w Olecku</t>
  </si>
  <si>
    <t>Zespół Szkół Liceal i Zawod. w Olecku</t>
  </si>
  <si>
    <t>Ośrodek Szkolno-Wychowawczy  w Olecku</t>
  </si>
  <si>
    <t>Dom Dziecka w Olecku</t>
  </si>
  <si>
    <t>Kom. Pow. Państ. Straży Poż.  Olecko</t>
  </si>
  <si>
    <t>Załącznik nr 1.10</t>
  </si>
  <si>
    <t>Stan funduszy na początek roku, w tym:</t>
  </si>
  <si>
    <t>- środki pieniężne</t>
  </si>
  <si>
    <t>- należności</t>
  </si>
  <si>
    <t>- zobowiązania</t>
  </si>
  <si>
    <t>Przychody</t>
  </si>
  <si>
    <t>§0690-opłaty i kary z tyt.gosp.korzystania ze środowiska</t>
  </si>
  <si>
    <t>Wydatki bieżące</t>
  </si>
  <si>
    <t>§ 2440-dotacje przekazane z funduszy celowych na realizację zadań bieżących dla jednostek sektora finansów publicznych</t>
  </si>
  <si>
    <t>§ 2450-dotacje przekazane z funduszy celowych na realizację zadań bieżących dla jednostek niezalicznych do sektora finansów publicznych</t>
  </si>
  <si>
    <t xml:space="preserve"> § 4210-zakup materiałów i wyposażenia</t>
  </si>
  <si>
    <t>§ 4300-zakup usług pozostałych</t>
  </si>
  <si>
    <t>Wydatki majątkowe, w tym</t>
  </si>
  <si>
    <t>§ 6120- wydatki na zakupy inwestycyjne</t>
  </si>
  <si>
    <t>§ 6260- dotacja z f-szy celowych na realiz.inwestycji jednostek sektora fin.publ.</t>
  </si>
  <si>
    <t>§ 6270-dotacja z funduszy celowych na realizację inwestycji jednostek niezaliczanych do sektora finansów publicznych</t>
  </si>
  <si>
    <t>IV</t>
  </si>
  <si>
    <t>Stan funduszy na koniec roku, w tym:</t>
  </si>
  <si>
    <t>Nazwa jednostki</t>
  </si>
  <si>
    <t xml:space="preserve">Liczba uczniów </t>
  </si>
  <si>
    <t>Liceum Ekonomiczne/Technikum (dzienne)</t>
  </si>
  <si>
    <t>Liceum Ogólnokształcące (zaoczne)</t>
  </si>
  <si>
    <t>Policealne Studium Zawodowe (zaoczne)</t>
  </si>
  <si>
    <t>Liceum Ekonomiczne (zaoczne)</t>
  </si>
  <si>
    <t>Rozliczenie dotacji należnej za rok 2002 (nadpłata "-", dopłata "+")</t>
  </si>
  <si>
    <t>80133*</t>
  </si>
  <si>
    <t>Centrum Edukacji Specjalnej w Olecku</t>
  </si>
  <si>
    <t>Szkoła Podstawowa Specjalna (dzienna)</t>
  </si>
  <si>
    <t>Zasadnicza Szkoła Zawodowa Specjalna (dzienna)</t>
  </si>
  <si>
    <t>3.2</t>
  </si>
  <si>
    <t>85405**</t>
  </si>
  <si>
    <t>Centrum Edukacji Specjalnej przy Środowiskowym Domu Samopomocy w Olecku - środki na rok 2003 (3.1+3.2)</t>
  </si>
  <si>
    <t>4.2</t>
  </si>
  <si>
    <t>Szkoły L.Olszewski - środki na rok 2003 (4.1+4.2)</t>
  </si>
  <si>
    <t>RAZEM</t>
  </si>
  <si>
    <t>Nazwa zadania</t>
  </si>
  <si>
    <t>Umasowienie sportu wsród dzieci, młodzieży i dorosłych, promocja powiatu na imprezach ogólnopolskich oraz organizacja imprez ponadlokalnych na terenie powiatu oleckiego</t>
  </si>
  <si>
    <t>OGÓŁEM KWOTA DOTACJI</t>
  </si>
  <si>
    <t>Budowa i utrzym.urzadz.mel.wod.</t>
  </si>
  <si>
    <t>GOSPODARKA MIESZKANIOWA</t>
  </si>
  <si>
    <t>gospodarka grunt.i nieruch.</t>
  </si>
  <si>
    <t>wpł.za zarz.i uzytk.wieczyste</t>
  </si>
  <si>
    <t>0470</t>
  </si>
  <si>
    <t>dochody z najmu i dzierżawy</t>
  </si>
  <si>
    <t>wpł.z tyt.przekszt.pr.własn.</t>
  </si>
  <si>
    <t>0760</t>
  </si>
  <si>
    <t>urzędy wojewódzkie</t>
  </si>
  <si>
    <t>komendy powiatowe Policji</t>
  </si>
  <si>
    <t>komendy powiatowe PSP</t>
  </si>
  <si>
    <t>grzywny, mandaty i inne kary</t>
  </si>
  <si>
    <t>057</t>
  </si>
  <si>
    <r>
      <t xml:space="preserve">            </t>
    </r>
    <r>
      <rPr>
        <b/>
        <u val="single"/>
        <sz val="14"/>
        <rFont val="Arial CE"/>
        <family val="0"/>
      </rPr>
      <t xml:space="preserve"> WYKONANIE DOCHODÓW  ZA ROK 2005</t>
    </r>
  </si>
  <si>
    <t xml:space="preserve">b) </t>
  </si>
  <si>
    <t>Fundusz Ochrony Gruntów Rolnych</t>
  </si>
  <si>
    <t>01028</t>
  </si>
  <si>
    <t>dotacje otrzymane z funduszy celowych na finansowanie lub dofinansowanie kosztów realizacji inwestycji</t>
  </si>
  <si>
    <t>dotacje celowe otrzymane z gminy na zadania bieżące realizowane na podstawie porozumień z j.s.t. rządowej</t>
  </si>
  <si>
    <t>0929</t>
  </si>
  <si>
    <t>6290</t>
  </si>
  <si>
    <t>2390</t>
  </si>
  <si>
    <t>Wpływy do budżetu ze środków specjalnych</t>
  </si>
  <si>
    <t>Fundusz ochrony środowiska i gospodarki wodnej</t>
  </si>
  <si>
    <t>Dotacje celowe otrzymane z budżetu państwa na inwestycje i zakupy inwestycyjne z zakresu administracji rządowej</t>
  </si>
  <si>
    <t>e)</t>
  </si>
  <si>
    <t>Uzupełnienie subwencji ogólnej dla j.s.t.</t>
  </si>
  <si>
    <t>2760</t>
  </si>
  <si>
    <t>2780</t>
  </si>
  <si>
    <t>Środki na uzupełnienie dochodów powiatów</t>
  </si>
  <si>
    <t>Środki na inwestycje rozpoczęte przed dniem 01 stycznia 1999r.</t>
  </si>
  <si>
    <t>2130</t>
  </si>
  <si>
    <t>Dotacja celowa otrzymana z powiatu na zadania bieżące realizowane na podstawie umów</t>
  </si>
  <si>
    <t>85154</t>
  </si>
  <si>
    <t>Przeciwdziałanie alkoholizmowi</t>
  </si>
  <si>
    <t>6630</t>
  </si>
  <si>
    <t>dotacja celowa otrzymana przez j.s.t. od samorządu województwa na zadania bieżące realizowane na podstawie porozumień i umów</t>
  </si>
  <si>
    <t>dotacja celowa otrzymana przez j.s.t. od samorządu województwa na inwestycje i zakupy inwestycyjne realizowane na podstawie porozumień i umów</t>
  </si>
  <si>
    <t>Świadczenia rodzinne oraz składki na ubezpieczenia emerytalne i rentowe z ubezpieczenia społecznego</t>
  </si>
  <si>
    <t>2700</t>
  </si>
  <si>
    <t>Środki na dofinansowanie własnych zadań bieżących powiatów pozyskane z innych źródeł</t>
  </si>
  <si>
    <t>85220</t>
  </si>
  <si>
    <t>Dotacje celowe otrzymane z budżetu państwa na zadania bieżące realizowane przez powiat na podstawie porozumień z organami administracji rządowej</t>
  </si>
  <si>
    <t>Jednostki specjalistycznego poradnictwa, mieszkania chronione i ośrodki interwencji kryzysowej</t>
  </si>
  <si>
    <t>2440</t>
  </si>
  <si>
    <t>6260</t>
  </si>
  <si>
    <t>Dotacje otrzymane z funduszy celowych na realizację zadań bieżących jednostek sektora finansów publicznych</t>
  </si>
  <si>
    <t>Wpływy ze sprzedaży składników majątkowych</t>
  </si>
  <si>
    <t>2328</t>
  </si>
  <si>
    <t>2329</t>
  </si>
  <si>
    <t>- na zadania zlecone (§ 2110 i §  6410)</t>
  </si>
  <si>
    <t>Pożyczki z BP na prefinansowanie wydatków realizowanych z udziałem funduszy strukturalnych</t>
  </si>
  <si>
    <t>§  903</t>
  </si>
  <si>
    <t>Spłata pożyczek zaciągniętych na prefinansowanie wydatków</t>
  </si>
  <si>
    <t>WYKONANIE  WYDATKÓW ZA  ROK 2005</t>
  </si>
  <si>
    <t>Wykonanie na dzień 31.12.2005</t>
  </si>
  <si>
    <t>Plan 2005 /po zmianach/</t>
  </si>
  <si>
    <t>Wyszczególnienie                                nazwa działu, rozdziału</t>
  </si>
  <si>
    <t>6058</t>
  </si>
  <si>
    <t>4170</t>
  </si>
  <si>
    <t>Wynagrodzenia bezosobowe</t>
  </si>
  <si>
    <t>4350</t>
  </si>
  <si>
    <t>Opłaty za usługi internetowe</t>
  </si>
  <si>
    <t>zakup usług internetowych</t>
  </si>
  <si>
    <t>75075</t>
  </si>
  <si>
    <t>Promocja jednosek samorządu terytorialnego</t>
  </si>
  <si>
    <t>75414</t>
  </si>
  <si>
    <t>Komenda Powiatowa Policji</t>
  </si>
  <si>
    <t>6150</t>
  </si>
  <si>
    <t>Wpłaty jednostek na rzecz środków specjalnych na finansowanie lub dofinansowanie zadań inwestycyjnych</t>
  </si>
  <si>
    <t>3070</t>
  </si>
  <si>
    <t>Wydatki osobowe nie zaliczane do wynagrodzeń</t>
  </si>
  <si>
    <t>4180</t>
  </si>
  <si>
    <t>Równoważniki i ekwiwalenty</t>
  </si>
  <si>
    <t>80105</t>
  </si>
  <si>
    <t>opłaty za usługi internetowe</t>
  </si>
  <si>
    <t>Dotacja podmiotowa z budżetu dla SPZOZ utworzonego przez j.s.t.</t>
  </si>
  <si>
    <t>6239</t>
  </si>
  <si>
    <t>Dotacja celowa z budżetu na dofinansowanie kosztów realizacji zakupów inwestycyjnych innych jednostek nie zaliczanych do sektora finansów publicznych</t>
  </si>
  <si>
    <t>Dotacje celowe przekazane dla powiatu na zadania bieżące</t>
  </si>
  <si>
    <t>Koszty postępowania sądowego i prokuratorskiego</t>
  </si>
  <si>
    <t>Opłata usług internetowych</t>
  </si>
  <si>
    <t>85233</t>
  </si>
  <si>
    <t>Dokształcanie i doskonalenie nauczycieli</t>
  </si>
  <si>
    <t>Nagrody i wydatki nie zaliczane do wynagrodzeń</t>
  </si>
  <si>
    <t>4308</t>
  </si>
  <si>
    <t>Wydatki na zakupy inwestycjne</t>
  </si>
  <si>
    <t>Opłata za usługi internetowe</t>
  </si>
  <si>
    <t>6052</t>
  </si>
  <si>
    <t>3248</t>
  </si>
  <si>
    <t>3249</t>
  </si>
  <si>
    <t>4178</t>
  </si>
  <si>
    <t>4179</t>
  </si>
  <si>
    <t>4218</t>
  </si>
  <si>
    <t>4219</t>
  </si>
  <si>
    <t>4309</t>
  </si>
  <si>
    <t xml:space="preserve">    dotacje (§ § 2310, 2320,2330, 2540,  2560)</t>
  </si>
  <si>
    <t>803</t>
  </si>
  <si>
    <t>80309</t>
  </si>
  <si>
    <t>Pomoc materialna dla studentów</t>
  </si>
  <si>
    <t>3218</t>
  </si>
  <si>
    <t>3219</t>
  </si>
  <si>
    <t>Stypendia i zasiłki dla studentów</t>
  </si>
  <si>
    <t>Wynagrodenia bezosobowe</t>
  </si>
  <si>
    <t>Plan 2005 (po zmianach)</t>
  </si>
  <si>
    <t>Opieka społeczna</t>
  </si>
  <si>
    <t>Jednostki specjalistycznego poradnictwa,   mieszkania chronione i ośrodki interwencji kryzysowej</t>
  </si>
  <si>
    <t>Plan przychodów2005</t>
  </si>
  <si>
    <t xml:space="preserve">Plan wydatków 2005  </t>
  </si>
  <si>
    <t xml:space="preserve"> Przychody i wydatki  dochodów własnych za rok 2005</t>
  </si>
  <si>
    <t>Plan na 2005r</t>
  </si>
  <si>
    <t>wykonanie za 2005r</t>
  </si>
  <si>
    <t>Wykaz zadań własnych powiatu zleconych w 2005 r.do realizacji  podmiotom nie zaliczonym do sektora finansów publicznych i nie działających w celu osiągnięcia zysku.</t>
  </si>
  <si>
    <t>plan 2005</t>
  </si>
  <si>
    <t xml:space="preserve">Wykonanie za 2005r </t>
  </si>
  <si>
    <t>Plan na 2005 r.</t>
  </si>
  <si>
    <t>Wykonanie za 2005r</t>
  </si>
  <si>
    <t>WYKONANIE DOCHODÓW BUDŻETU PAŃSTWA W ROKU 2005</t>
  </si>
  <si>
    <t>Promocja samorządu terytorialnego</t>
  </si>
  <si>
    <r>
      <t>Z</t>
    </r>
    <r>
      <rPr>
        <sz val="8"/>
        <rFont val="Arial CE"/>
        <family val="2"/>
      </rPr>
      <t>akup mater. I wyposażenia</t>
    </r>
  </si>
  <si>
    <t>pozostałe dochody</t>
  </si>
  <si>
    <t>wpł.ze sprzed.skł.majątk.</t>
  </si>
  <si>
    <t>Gimnazja Specjalne (dzienne)</t>
  </si>
  <si>
    <t>Przedszkola Specjalne (dzienne)</t>
  </si>
  <si>
    <t>w zł.</t>
  </si>
  <si>
    <t>- materiały</t>
  </si>
  <si>
    <t>§ 0830  - Wpływy z usług</t>
  </si>
  <si>
    <t>§ 0920  - Odsetki</t>
  </si>
  <si>
    <t>§ 2960-przelewy redystrybucyjne</t>
  </si>
  <si>
    <t>- przelewy na fundusz centralny</t>
  </si>
  <si>
    <t>- przelewy na fundusz wojewódzki</t>
  </si>
  <si>
    <t>§ 4210-zakup matriałów i wyposażenia</t>
  </si>
  <si>
    <t>§ 4270-zakup usług remontowych</t>
  </si>
  <si>
    <t>Wydatki majątkowe</t>
  </si>
  <si>
    <t>§ 6120- wydatki na zakupy inwestycyjne funduszy celowych</t>
  </si>
  <si>
    <t>Załącznik 1.11</t>
  </si>
  <si>
    <t>Przychody i wydatki Powiatowego Funduszu Gospodarki Zasobem Geodezyjnym i Kartograficznym za rok 2005</t>
  </si>
  <si>
    <t xml:space="preserve">§ </t>
  </si>
  <si>
    <t xml:space="preserve">Załącznik Nr 1.13 </t>
  </si>
  <si>
    <t>Załącznik nr 1.12</t>
  </si>
  <si>
    <t>Załącznik Nr 1.14</t>
  </si>
  <si>
    <t>Załącznik nr 1.1</t>
  </si>
  <si>
    <t>Dotacje przekazane dla niepublicznych  szkół i placówek oświatowo - wychowawczych                       w roku 2005</t>
  </si>
  <si>
    <t>Centrum Edukacji i Rozwoju Zawodowego w Olecku</t>
  </si>
  <si>
    <t xml:space="preserve">Zakład Doskonalenia Zawodowego                  w Białymstoku </t>
  </si>
  <si>
    <t xml:space="preserve">v </t>
  </si>
  <si>
    <t xml:space="preserve"> - Powiat olsztyński</t>
  </si>
  <si>
    <t>Placówki opiekuńczo-wychowawcze</t>
  </si>
  <si>
    <t xml:space="preserve"> - Powiat gołdapski</t>
  </si>
  <si>
    <t xml:space="preserve"> - Powiat ełcki </t>
  </si>
  <si>
    <t xml:space="preserve"> - Powiat sejneński</t>
  </si>
  <si>
    <t xml:space="preserve"> - Powiat bartoszycki</t>
  </si>
  <si>
    <t xml:space="preserve"> - Powiat augustowski</t>
  </si>
  <si>
    <t xml:space="preserve"> - Powiat grajewski</t>
  </si>
  <si>
    <t xml:space="preserve"> - Powiat węgorzewski</t>
  </si>
  <si>
    <t xml:space="preserve"> - Powiat suwalski </t>
  </si>
  <si>
    <t xml:space="preserve"> - Miasto Suwałki</t>
  </si>
  <si>
    <t>- Miasto Toruń</t>
  </si>
  <si>
    <t xml:space="preserve"> - Powiat augustowski </t>
  </si>
  <si>
    <t>- Powiat ełcki</t>
  </si>
  <si>
    <t>Dochody i wydatki związane z realizacją zadań wspólnych realizowanych w drodze umów (porozumień)                                    z jednostkami samorządu terytorialnego</t>
  </si>
  <si>
    <t>Załącznik Nr 1.15</t>
  </si>
  <si>
    <t xml:space="preserve"> Przychody i wydatki  środków specjalnych za rok 2005</t>
  </si>
  <si>
    <t>,</t>
  </si>
  <si>
    <t>Zgodnie z Uchwałą Nr XXVIII/221/05 Rady Powiatu w Olecku z dnia 31.03.2005 roku z dniem 01.01.2005 roku zgromadzone środki finansowe na rachunkach bankowych środków specjalnych zostają przekazane na rachunki środków własnych jednostek.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</si>
  <si>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</si>
  <si>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Rozdz.</t>
  </si>
  <si>
    <t>Nazwa zadania inwestycyjnego i okres realizacji (w latach)</t>
  </si>
  <si>
    <t xml:space="preserve">  Planowane nakłady</t>
  </si>
  <si>
    <t>Jednostki organizacyjne realizujące zadanie lub koordynujące program</t>
  </si>
  <si>
    <t>w tym źródła finansowania</t>
  </si>
  <si>
    <t>środki stanowiące udział powiatu</t>
  </si>
  <si>
    <t>kredyty i pożyczki</t>
  </si>
  <si>
    <t>dotacje od jednostek samorządu terytorialnego</t>
  </si>
  <si>
    <t>dofinansowanie z funduszy strukturalnych   UE</t>
  </si>
  <si>
    <t>środki pozyskane z innych źródeł</t>
  </si>
  <si>
    <t>środki pozyskane z zewnątrz</t>
  </si>
  <si>
    <t>wymagające prefinansowania</t>
  </si>
  <si>
    <t>Modernizacja drogi powiatowej nr 40454 Olecko-Świętajno (lata: 2001 - 2002)</t>
  </si>
  <si>
    <t>"Budowa drogi powiatowej nr 40491 Krupin-Wojnasy,etap I przez wieś Markowskie długości 951 m" w ramach programu ZPORR (lata: 2005-2006)</t>
  </si>
  <si>
    <t>Powiatowy Zarząd Dróg                     w Olecku</t>
  </si>
  <si>
    <t>Razem droga nr 40491*</t>
  </si>
  <si>
    <t>Przebudowa drogi powiatowej nr 40454 Olecko-Świętajno-Dunajek km 7+350do km 13+000 dł.5,65 km" w ramach ZPORR  (lata 2005-2007)</t>
  </si>
  <si>
    <t>Powiatowy Zarząd Dróg                         w Olecku</t>
  </si>
  <si>
    <t>Razem droga nr 40454*</t>
  </si>
  <si>
    <t>Przebudowa drogi powiatowej nr 40457 Kukowo-Zajdy Dudki w km 4+580 do km 7+780, dł. 3,2 km"  w ramach ZPORR  (lata 2005-2006)</t>
  </si>
  <si>
    <t>Powiatowy Zarząd Dróg                      w Olecku</t>
  </si>
  <si>
    <t>Razem droga nr 40457</t>
  </si>
  <si>
    <t>Przebudowa (modernizacja) Szpitala Powiatowego w Olecku w ramach  ZPORR (lata 2005-2006 I etap i 2007-2008 II etap)</t>
  </si>
  <si>
    <t>Starostwo Powiatowe            w Olecku</t>
  </si>
  <si>
    <t>Razem przebudowa (modernizacja) szpitala</t>
  </si>
  <si>
    <t>Przebudowa drogi powiatowej nr 1746 N Jeziorowskie-Leśny Zakątek -Czerwony Dwór-Cichy-Duły i nr 1798 N Czerwony Dwór -Stacze</t>
  </si>
  <si>
    <t>Powiatowy Zarząd Dróg               w Olecku</t>
  </si>
  <si>
    <t xml:space="preserve">Budowa Szpitala w Olecku (k.ogrzewania inwestycji)                                </t>
  </si>
  <si>
    <t>Realizacja zad.inwest."Mazurskie Centrum Edukacji i Inicjatyw Lokalnych"</t>
  </si>
  <si>
    <t>Razem</t>
  </si>
  <si>
    <t>Modernizacja drogi powiatowej nr 1842 Romejki-Kijewo(lata: 2005 - 2007)</t>
  </si>
  <si>
    <t>OGÓŁEM</t>
  </si>
  <si>
    <t>SUMA</t>
  </si>
  <si>
    <t>STAROSTWO POWIATOWE                  W  OLECKU</t>
  </si>
  <si>
    <t>Zakup urządzeń systemu łączności (Powiatowy Zesół Reagowania Kryzys.)</t>
  </si>
  <si>
    <t>Komenda Powiatowa Państwowej Straży Pożarnej w Olecku</t>
  </si>
  <si>
    <t>Zakup łodzi pontonowej z silnikiem</t>
  </si>
  <si>
    <t xml:space="preserve">Dofinansowanie zakupu sprzętu kwaterunkowego oraz analizatorów wydechu </t>
  </si>
  <si>
    <t xml:space="preserve">Zakup sprzętu i wyposażenia </t>
  </si>
  <si>
    <t>Zakup samochodu osobowego - "mikrobus"</t>
  </si>
  <si>
    <t>Powiatowe Centrum Pomocy Rodzinie w Olecku</t>
  </si>
  <si>
    <t>OLMEDICA Sp. z o.o.</t>
  </si>
  <si>
    <t xml:space="preserve">Zakup wyposażenia w sieć komputerową dla OLMEDICA Sp.z o.o. w Olecku </t>
  </si>
  <si>
    <t>Zakup  komputerów i oprogramowania</t>
  </si>
  <si>
    <t>POWIAT.INSPEKTORAT NADZORU BUDOWLANEGO  W  OLECKU</t>
  </si>
  <si>
    <t>Zakup wyposażenia (zestaw komputerowy)</t>
  </si>
  <si>
    <t>ZESPÓŁ SZKÓŁ LICEALNYCH                         I ZAWODOWYCH  W  OLECKU</t>
  </si>
  <si>
    <t>ZESPÓŁ SZKÓŁ TECHNICZNYCH          W   OLECKU</t>
  </si>
  <si>
    <t>Modernizacja systemu grzewczego</t>
  </si>
  <si>
    <t>POWIATOWY ZARZĄD DRÓG                  W  OLECKU</t>
  </si>
  <si>
    <t>Zakup ciągnika z osprzętem</t>
  </si>
  <si>
    <t>Przebudowa  drogi powiatowej nr 40508 Kleszczewo-Puchówka w km 0+000 do km 0+525, dlugości 525m"</t>
  </si>
  <si>
    <t>POWIATOWY ZARZĄD DRÓG              W     OLECKU</t>
  </si>
  <si>
    <t>"Przebudowa chodnika przy ul.Armii Krajowej (od ul Sokolej do ul.Słowiańskiej w Olecku)</t>
  </si>
  <si>
    <t>Dotacja z budżetu państwa</t>
  </si>
  <si>
    <t>dotacje z gmin (porozumienia)</t>
  </si>
  <si>
    <t xml:space="preserve">Dział </t>
  </si>
  <si>
    <t>WYDATKI INWESTYCYJNE JEDNOSTEK BUDŻETOWYCH W ROKU 2005</t>
  </si>
  <si>
    <t>Załaącznik 1.7</t>
  </si>
  <si>
    <t>Poniesione nakłady</t>
  </si>
  <si>
    <t>Nazwa zadania inwestycyjnego</t>
  </si>
  <si>
    <t>środki pozyskane       z innych źródeł</t>
  </si>
  <si>
    <t>Plan na 2005</t>
  </si>
  <si>
    <t>Wykonanie na 2005</t>
  </si>
  <si>
    <t>w tym źródła finansowania:</t>
  </si>
  <si>
    <t>Załącznik 1.8</t>
  </si>
  <si>
    <t>Plan na 2005 rok</t>
  </si>
  <si>
    <t xml:space="preserve">Wykonanie za 2005 rok </t>
  </si>
  <si>
    <t>Ośrodek Szkolno-Wychowawczy  dla Dzieci Głuchych w Olecku</t>
  </si>
  <si>
    <t>Środki z kredytu EBI</t>
  </si>
  <si>
    <t>Starostwo Powiatowe          w Olecku</t>
  </si>
  <si>
    <t>Dochody własne ogółem,    w tym:</t>
  </si>
  <si>
    <t>WYKONANIE DOCHODÓW ZA ROK 2005</t>
  </si>
  <si>
    <t xml:space="preserve"> Przychody i wydatki Powiatowego Funduszu Ochrony Środowiska                                 i Gospodarki Wodnej  za rok 2005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</si>
</sst>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2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u val="single"/>
      <sz val="14"/>
      <name val="Arial CE"/>
      <family val="2"/>
    </font>
    <font>
      <b/>
      <sz val="14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u val="single"/>
      <sz val="12"/>
      <name val="Arial CE"/>
      <family val="2"/>
    </font>
    <font>
      <b/>
      <u val="single"/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b/>
      <u val="single"/>
      <sz val="11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top"/>
      <protection/>
    </xf>
    <xf numFmtId="0" fontId="0" fillId="0" borderId="1" xfId="0" applyBorder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 vertical="center" wrapText="1"/>
      <protection/>
    </xf>
    <xf numFmtId="0" fontId="6" fillId="0" borderId="2" xfId="0" applyFont="1" applyBorder="1" applyAlignment="1" applyProtection="1">
      <alignment horizontal="left" vertical="center"/>
      <protection/>
    </xf>
    <xf numFmtId="0" fontId="0" fillId="0" borderId="2" xfId="0" applyBorder="1" applyAlignment="1" applyProtection="1">
      <alignment vertical="center"/>
      <protection/>
    </xf>
    <xf numFmtId="0" fontId="6" fillId="0" borderId="3" xfId="0" applyFont="1" applyBorder="1" applyAlignment="1" applyProtection="1">
      <alignment horizontal="right"/>
      <protection/>
    </xf>
    <xf numFmtId="0" fontId="6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6" fillId="2" borderId="3" xfId="0" applyFont="1" applyFill="1" applyBorder="1" applyAlignment="1">
      <alignment horizontal="right"/>
    </xf>
    <xf numFmtId="0" fontId="6" fillId="2" borderId="2" xfId="0" applyFont="1" applyFill="1" applyBorder="1" applyAlignment="1">
      <alignment/>
    </xf>
    <xf numFmtId="49" fontId="6" fillId="2" borderId="2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65" fontId="0" fillId="2" borderId="2" xfId="0" applyNumberForma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2" fontId="0" fillId="2" borderId="2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2" xfId="0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164" fontId="0" fillId="0" borderId="2" xfId="0" applyNumberFormat="1" applyFont="1" applyBorder="1" applyAlignment="1">
      <alignment/>
    </xf>
    <xf numFmtId="2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4" xfId="0" applyNumberFormat="1" applyFont="1" applyBorder="1" applyAlignment="1">
      <alignment/>
    </xf>
    <xf numFmtId="0" fontId="6" fillId="0" borderId="3" xfId="0" applyFont="1" applyBorder="1" applyAlignment="1">
      <alignment horizontal="right"/>
    </xf>
    <xf numFmtId="0" fontId="6" fillId="0" borderId="2" xfId="0" applyFont="1" applyBorder="1" applyAlignment="1">
      <alignment/>
    </xf>
    <xf numFmtId="49" fontId="6" fillId="0" borderId="2" xfId="0" applyNumberFormat="1" applyFont="1" applyBorder="1" applyAlignment="1">
      <alignment horizontal="left"/>
    </xf>
    <xf numFmtId="165" fontId="6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10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/>
    </xf>
    <xf numFmtId="0" fontId="0" fillId="0" borderId="2" xfId="0" applyFont="1" applyBorder="1" applyAlignment="1">
      <alignment wrapText="1"/>
    </xf>
    <xf numFmtId="49" fontId="0" fillId="0" borderId="2" xfId="0" applyNumberFormat="1" applyFont="1" applyBorder="1" applyAlignment="1">
      <alignment horizontal="left"/>
    </xf>
    <xf numFmtId="165" fontId="0" fillId="0" borderId="2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10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 horizontal="right"/>
    </xf>
    <xf numFmtId="164" fontId="0" fillId="0" borderId="2" xfId="0" applyNumberFormat="1" applyBorder="1" applyAlignment="1">
      <alignment/>
    </xf>
    <xf numFmtId="0" fontId="6" fillId="2" borderId="2" xfId="0" applyFont="1" applyFill="1" applyBorder="1" applyAlignment="1">
      <alignment wrapText="1"/>
    </xf>
    <xf numFmtId="2" fontId="6" fillId="2" borderId="2" xfId="0" applyNumberFormat="1" applyFont="1" applyFill="1" applyBorder="1" applyAlignment="1">
      <alignment/>
    </xf>
    <xf numFmtId="0" fontId="6" fillId="2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2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6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wrapText="1"/>
    </xf>
    <xf numFmtId="49" fontId="6" fillId="0" borderId="2" xfId="0" applyNumberFormat="1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2" fontId="6" fillId="0" borderId="2" xfId="0" applyNumberFormat="1" applyFont="1" applyFill="1" applyBorder="1" applyAlignment="1">
      <alignment/>
    </xf>
    <xf numFmtId="0" fontId="6" fillId="0" borderId="2" xfId="0" applyNumberFormat="1" applyFont="1" applyFill="1" applyBorder="1" applyAlignment="1">
      <alignment/>
    </xf>
    <xf numFmtId="165" fontId="6" fillId="2" borderId="2" xfId="0" applyNumberFormat="1" applyFont="1" applyFill="1" applyBorder="1" applyAlignment="1">
      <alignment/>
    </xf>
    <xf numFmtId="164" fontId="6" fillId="2" borderId="2" xfId="0" applyNumberFormat="1" applyFont="1" applyFill="1" applyBorder="1" applyAlignment="1">
      <alignment/>
    </xf>
    <xf numFmtId="10" fontId="6" fillId="2" borderId="2" xfId="0" applyNumberFormat="1" applyFont="1" applyFill="1" applyBorder="1" applyAlignment="1">
      <alignment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3" borderId="2" xfId="0" applyFont="1" applyFill="1" applyBorder="1" applyAlignment="1">
      <alignment/>
    </xf>
    <xf numFmtId="49" fontId="0" fillId="2" borderId="2" xfId="0" applyNumberFormat="1" applyFill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/>
    </xf>
    <xf numFmtId="0" fontId="0" fillId="3" borderId="3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left"/>
    </xf>
    <xf numFmtId="165" fontId="0" fillId="3" borderId="2" xfId="0" applyNumberFormat="1" applyFont="1" applyFill="1" applyBorder="1" applyAlignment="1">
      <alignment/>
    </xf>
    <xf numFmtId="164" fontId="0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10" fontId="0" fillId="3" borderId="2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0" borderId="2" xfId="0" applyNumberFormat="1" applyBorder="1" applyAlignment="1">
      <alignment/>
    </xf>
    <xf numFmtId="49" fontId="0" fillId="3" borderId="2" xfId="0" applyNumberFormat="1" applyFont="1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0" fontId="6" fillId="0" borderId="0" xfId="0" applyFont="1" applyAlignment="1">
      <alignment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/>
    </xf>
    <xf numFmtId="49" fontId="0" fillId="0" borderId="2" xfId="0" applyNumberFormat="1" applyFont="1" applyBorder="1" applyAlignment="1">
      <alignment/>
    </xf>
    <xf numFmtId="0" fontId="9" fillId="2" borderId="2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0" fillId="4" borderId="5" xfId="0" applyFill="1" applyBorder="1" applyAlignment="1">
      <alignment horizontal="right"/>
    </xf>
    <xf numFmtId="0" fontId="10" fillId="4" borderId="6" xfId="0" applyFont="1" applyFill="1" applyBorder="1" applyAlignment="1">
      <alignment/>
    </xf>
    <xf numFmtId="0" fontId="0" fillId="4" borderId="6" xfId="0" applyFill="1" applyBorder="1" applyAlignment="1">
      <alignment/>
    </xf>
    <xf numFmtId="165" fontId="9" fillId="4" borderId="6" xfId="0" applyNumberFormat="1" applyFont="1" applyFill="1" applyBorder="1" applyAlignment="1">
      <alignment/>
    </xf>
    <xf numFmtId="164" fontId="9" fillId="4" borderId="6" xfId="0" applyNumberFormat="1" applyFont="1" applyFill="1" applyBorder="1" applyAlignment="1">
      <alignment/>
    </xf>
    <xf numFmtId="2" fontId="6" fillId="4" borderId="6" xfId="0" applyNumberFormat="1" applyFont="1" applyFill="1" applyBorder="1" applyAlignment="1">
      <alignment/>
    </xf>
    <xf numFmtId="10" fontId="6" fillId="4" borderId="6" xfId="0" applyNumberFormat="1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6" fillId="4" borderId="6" xfId="0" applyNumberFormat="1" applyFont="1" applyFill="1" applyBorder="1" applyAlignment="1">
      <alignment/>
    </xf>
    <xf numFmtId="0" fontId="0" fillId="0" borderId="7" xfId="0" applyBorder="1" applyAlignment="1">
      <alignment horizontal="right"/>
    </xf>
    <xf numFmtId="165" fontId="0" fillId="0" borderId="8" xfId="0" applyNumberFormat="1" applyBorder="1" applyAlignment="1">
      <alignment/>
    </xf>
    <xf numFmtId="164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10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0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7" fillId="0" borderId="8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49" fontId="7" fillId="0" borderId="2" xfId="0" applyNumberFormat="1" applyFont="1" applyBorder="1" applyAlignment="1">
      <alignment/>
    </xf>
    <xf numFmtId="49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/>
    </xf>
    <xf numFmtId="0" fontId="3" fillId="0" borderId="12" xfId="0" applyFont="1" applyBorder="1" applyAlignment="1">
      <alignment/>
    </xf>
    <xf numFmtId="49" fontId="3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10" fontId="7" fillId="0" borderId="21" xfId="0" applyNumberFormat="1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49" fontId="3" fillId="0" borderId="8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3" xfId="0" applyFont="1" applyBorder="1" applyAlignment="1">
      <alignment/>
    </xf>
    <xf numFmtId="10" fontId="7" fillId="0" borderId="4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10" fontId="3" fillId="0" borderId="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" xfId="0" applyFont="1" applyBorder="1" applyAlignment="1">
      <alignment/>
    </xf>
    <xf numFmtId="10" fontId="7" fillId="0" borderId="4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3" fillId="0" borderId="2" xfId="0" applyNumberFormat="1" applyFont="1" applyBorder="1" applyAlignment="1">
      <alignment wrapText="1"/>
    </xf>
    <xf numFmtId="49" fontId="7" fillId="0" borderId="28" xfId="0" applyNumberFormat="1" applyFont="1" applyBorder="1" applyAlignment="1">
      <alignment/>
    </xf>
    <xf numFmtId="49" fontId="7" fillId="0" borderId="27" xfId="0" applyNumberFormat="1" applyFont="1" applyBorder="1" applyAlignment="1">
      <alignment/>
    </xf>
    <xf numFmtId="49" fontId="7" fillId="0" borderId="19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7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0" fontId="6" fillId="0" borderId="2" xfId="0" applyNumberFormat="1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2" xfId="0" applyNumberFormat="1" applyFont="1" applyBorder="1" applyAlignment="1">
      <alignment/>
    </xf>
    <xf numFmtId="0" fontId="0" fillId="0" borderId="2" xfId="0" applyNumberFormat="1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49" fontId="0" fillId="0" borderId="0" xfId="0" applyNumberFormat="1" applyAlignment="1">
      <alignment/>
    </xf>
    <xf numFmtId="0" fontId="3" fillId="0" borderId="8" xfId="0" applyFont="1" applyBorder="1" applyAlignment="1">
      <alignment horizontal="center"/>
    </xf>
    <xf numFmtId="0" fontId="3" fillId="0" borderId="11" xfId="0" applyFont="1" applyBorder="1" applyAlignment="1">
      <alignment/>
    </xf>
    <xf numFmtId="1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10" fontId="6" fillId="0" borderId="11" xfId="0" applyNumberFormat="1" applyFont="1" applyBorder="1" applyAlignment="1">
      <alignment horizontal="right"/>
    </xf>
    <xf numFmtId="10" fontId="6" fillId="0" borderId="4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wrapText="1"/>
    </xf>
    <xf numFmtId="0" fontId="16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0" borderId="28" xfId="0" applyBorder="1" applyAlignment="1">
      <alignment/>
    </xf>
    <xf numFmtId="10" fontId="0" fillId="0" borderId="12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1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2" xfId="0" applyBorder="1" applyAlignment="1">
      <alignment horizontal="center" shrinkToFit="1"/>
    </xf>
    <xf numFmtId="0" fontId="0" fillId="0" borderId="12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shrinkToFit="1"/>
    </xf>
    <xf numFmtId="0" fontId="0" fillId="0" borderId="37" xfId="0" applyBorder="1" applyAlignment="1">
      <alignment/>
    </xf>
    <xf numFmtId="10" fontId="0" fillId="0" borderId="38" xfId="0" applyNumberFormat="1" applyBorder="1" applyAlignment="1">
      <alignment/>
    </xf>
    <xf numFmtId="10" fontId="0" fillId="0" borderId="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39" xfId="0" applyBorder="1" applyAlignment="1">
      <alignment/>
    </xf>
    <xf numFmtId="10" fontId="0" fillId="0" borderId="24" xfId="0" applyNumberFormat="1" applyBorder="1" applyAlignment="1">
      <alignment/>
    </xf>
    <xf numFmtId="0" fontId="6" fillId="0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0" fillId="0" borderId="40" xfId="0" applyBorder="1" applyAlignment="1">
      <alignment/>
    </xf>
    <xf numFmtId="0" fontId="6" fillId="0" borderId="3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15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/>
    </xf>
    <xf numFmtId="0" fontId="0" fillId="0" borderId="44" xfId="0" applyBorder="1" applyAlignment="1">
      <alignment horizontal="center"/>
    </xf>
    <xf numFmtId="49" fontId="0" fillId="0" borderId="20" xfId="0" applyNumberFormat="1" applyBorder="1" applyAlignment="1">
      <alignment wrapText="1"/>
    </xf>
    <xf numFmtId="0" fontId="0" fillId="0" borderId="45" xfId="0" applyBorder="1" applyAlignment="1">
      <alignment horizontal="center"/>
    </xf>
    <xf numFmtId="49" fontId="0" fillId="0" borderId="46" xfId="0" applyNumberFormat="1" applyBorder="1" applyAlignment="1">
      <alignment wrapText="1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7" xfId="0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19" xfId="0" applyFont="1" applyBorder="1" applyAlignment="1">
      <alignment/>
    </xf>
    <xf numFmtId="0" fontId="0" fillId="0" borderId="46" xfId="0" applyBorder="1" applyAlignment="1">
      <alignment wrapText="1"/>
    </xf>
    <xf numFmtId="0" fontId="0" fillId="0" borderId="48" xfId="0" applyBorder="1" applyAlignment="1">
      <alignment horizontal="center"/>
    </xf>
    <xf numFmtId="0" fontId="0" fillId="0" borderId="25" xfId="0" applyBorder="1" applyAlignment="1">
      <alignment wrapText="1"/>
    </xf>
    <xf numFmtId="0" fontId="0" fillId="0" borderId="44" xfId="0" applyFont="1" applyBorder="1" applyAlignment="1">
      <alignment horizontal="center"/>
    </xf>
    <xf numFmtId="0" fontId="0" fillId="0" borderId="20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49" xfId="0" applyBorder="1" applyAlignment="1">
      <alignment horizontal="center"/>
    </xf>
    <xf numFmtId="49" fontId="0" fillId="0" borderId="50" xfId="0" applyNumberFormat="1" applyBorder="1" applyAlignment="1">
      <alignment wrapText="1"/>
    </xf>
    <xf numFmtId="0" fontId="0" fillId="0" borderId="51" xfId="0" applyBorder="1" applyAlignment="1">
      <alignment/>
    </xf>
    <xf numFmtId="0" fontId="0" fillId="0" borderId="41" xfId="0" applyBorder="1" applyAlignment="1">
      <alignment horizontal="right"/>
    </xf>
    <xf numFmtId="0" fontId="0" fillId="0" borderId="52" xfId="0" applyBorder="1" applyAlignment="1">
      <alignment horizontal="center"/>
    </xf>
    <xf numFmtId="49" fontId="0" fillId="0" borderId="53" xfId="0" applyNumberFormat="1" applyBorder="1" applyAlignment="1">
      <alignment wrapText="1"/>
    </xf>
    <xf numFmtId="0" fontId="0" fillId="0" borderId="42" xfId="0" applyBorder="1" applyAlignment="1">
      <alignment horizontal="right"/>
    </xf>
    <xf numFmtId="0" fontId="3" fillId="0" borderId="1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19" xfId="0" applyFont="1" applyBorder="1" applyAlignment="1">
      <alignment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wrapText="1"/>
    </xf>
    <xf numFmtId="0" fontId="0" fillId="0" borderId="55" xfId="0" applyBorder="1" applyAlignment="1">
      <alignment wrapText="1"/>
    </xf>
    <xf numFmtId="0" fontId="0" fillId="0" borderId="15" xfId="0" applyBorder="1" applyAlignment="1">
      <alignment/>
    </xf>
    <xf numFmtId="0" fontId="6" fillId="3" borderId="2" xfId="0" applyFont="1" applyFill="1" applyBorder="1" applyAlignment="1">
      <alignment/>
    </xf>
    <xf numFmtId="0" fontId="6" fillId="4" borderId="56" xfId="0" applyNumberFormat="1" applyFont="1" applyFill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3" borderId="2" xfId="0" applyFill="1" applyBorder="1" applyAlignment="1">
      <alignment/>
    </xf>
    <xf numFmtId="0" fontId="6" fillId="5" borderId="3" xfId="0" applyFont="1" applyFill="1" applyBorder="1" applyAlignment="1">
      <alignment horizontal="right"/>
    </xf>
    <xf numFmtId="0" fontId="6" fillId="5" borderId="2" xfId="0" applyFont="1" applyFill="1" applyBorder="1" applyAlignment="1">
      <alignment wrapText="1"/>
    </xf>
    <xf numFmtId="49" fontId="6" fillId="5" borderId="2" xfId="0" applyNumberFormat="1" applyFont="1" applyFill="1" applyBorder="1" applyAlignment="1">
      <alignment horizontal="left"/>
    </xf>
    <xf numFmtId="165" fontId="6" fillId="5" borderId="2" xfId="0" applyNumberFormat="1" applyFont="1" applyFill="1" applyBorder="1" applyAlignment="1">
      <alignment/>
    </xf>
    <xf numFmtId="164" fontId="6" fillId="5" borderId="2" xfId="0" applyNumberFormat="1" applyFont="1" applyFill="1" applyBorder="1" applyAlignment="1">
      <alignment/>
    </xf>
    <xf numFmtId="2" fontId="6" fillId="5" borderId="2" xfId="0" applyNumberFormat="1" applyFont="1" applyFill="1" applyBorder="1" applyAlignment="1">
      <alignment/>
    </xf>
    <xf numFmtId="10" fontId="6" fillId="5" borderId="2" xfId="0" applyNumberFormat="1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6" fillId="5" borderId="2" xfId="0" applyNumberFormat="1" applyFont="1" applyFill="1" applyBorder="1" applyAlignment="1">
      <alignment/>
    </xf>
    <xf numFmtId="0" fontId="0" fillId="5" borderId="3" xfId="0" applyFont="1" applyFill="1" applyBorder="1" applyAlignment="1">
      <alignment horizontal="right"/>
    </xf>
    <xf numFmtId="0" fontId="0" fillId="5" borderId="2" xfId="0" applyFont="1" applyFill="1" applyBorder="1" applyAlignment="1">
      <alignment/>
    </xf>
    <xf numFmtId="49" fontId="0" fillId="5" borderId="2" xfId="0" applyNumberFormat="1" applyFont="1" applyFill="1" applyBorder="1" applyAlignment="1">
      <alignment horizontal="left"/>
    </xf>
    <xf numFmtId="165" fontId="0" fillId="5" borderId="2" xfId="0" applyNumberFormat="1" applyFont="1" applyFill="1" applyBorder="1" applyAlignment="1">
      <alignment/>
    </xf>
    <xf numFmtId="164" fontId="0" fillId="5" borderId="2" xfId="0" applyNumberFormat="1" applyFont="1" applyFill="1" applyBorder="1" applyAlignment="1">
      <alignment/>
    </xf>
    <xf numFmtId="2" fontId="0" fillId="5" borderId="2" xfId="0" applyNumberFormat="1" applyFont="1" applyFill="1" applyBorder="1" applyAlignment="1">
      <alignment/>
    </xf>
    <xf numFmtId="10" fontId="0" fillId="5" borderId="2" xfId="0" applyNumberFormat="1" applyFont="1" applyFill="1" applyBorder="1" applyAlignment="1">
      <alignment/>
    </xf>
    <xf numFmtId="0" fontId="0" fillId="5" borderId="2" xfId="0" applyNumberFormat="1" applyFont="1" applyFill="1" applyBorder="1" applyAlignment="1">
      <alignment/>
    </xf>
    <xf numFmtId="0" fontId="0" fillId="5" borderId="2" xfId="0" applyFont="1" applyFill="1" applyBorder="1" applyAlignment="1">
      <alignment wrapText="1"/>
    </xf>
    <xf numFmtId="49" fontId="0" fillId="5" borderId="2" xfId="0" applyNumberForma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165" fontId="0" fillId="5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0" fontId="0" fillId="5" borderId="2" xfId="0" applyNumberFormat="1" applyFill="1" applyBorder="1" applyAlignment="1">
      <alignment/>
    </xf>
    <xf numFmtId="0" fontId="0" fillId="5" borderId="2" xfId="0" applyFill="1" applyBorder="1" applyAlignment="1">
      <alignment/>
    </xf>
    <xf numFmtId="0" fontId="0" fillId="5" borderId="2" xfId="0" applyFont="1" applyFill="1" applyBorder="1" applyAlignment="1">
      <alignment vertical="center" wrapText="1"/>
    </xf>
    <xf numFmtId="0" fontId="0" fillId="5" borderId="3" xfId="0" applyFill="1" applyBorder="1" applyAlignment="1">
      <alignment horizontal="right"/>
    </xf>
    <xf numFmtId="0" fontId="0" fillId="5" borderId="2" xfId="0" applyFill="1" applyBorder="1" applyAlignment="1">
      <alignment wrapText="1"/>
    </xf>
    <xf numFmtId="164" fontId="0" fillId="5" borderId="2" xfId="0" applyNumberFormat="1" applyFill="1" applyBorder="1" applyAlignment="1">
      <alignment/>
    </xf>
    <xf numFmtId="0" fontId="0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 wrapText="1"/>
    </xf>
    <xf numFmtId="49" fontId="0" fillId="5" borderId="2" xfId="0" applyNumberFormat="1" applyFont="1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165" fontId="0" fillId="3" borderId="2" xfId="0" applyNumberFormat="1" applyFill="1" applyBorder="1" applyAlignment="1">
      <alignment/>
    </xf>
    <xf numFmtId="164" fontId="0" fillId="3" borderId="2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  <xf numFmtId="10" fontId="0" fillId="3" borderId="2" xfId="0" applyNumberFormat="1" applyFill="1" applyBorder="1" applyAlignment="1">
      <alignment/>
    </xf>
    <xf numFmtId="0" fontId="3" fillId="3" borderId="2" xfId="0" applyFont="1" applyFill="1" applyBorder="1" applyAlignment="1">
      <alignment wrapText="1"/>
    </xf>
    <xf numFmtId="49" fontId="0" fillId="3" borderId="2" xfId="0" applyNumberFormat="1" applyFill="1" applyBorder="1" applyAlignment="1">
      <alignment horizontal="left"/>
    </xf>
    <xf numFmtId="0" fontId="0" fillId="5" borderId="2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56" xfId="0" applyBorder="1" applyAlignment="1">
      <alignment/>
    </xf>
    <xf numFmtId="0" fontId="15" fillId="0" borderId="8" xfId="0" applyFont="1" applyBorder="1" applyAlignment="1">
      <alignment wrapText="1"/>
    </xf>
    <xf numFmtId="0" fontId="15" fillId="3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10" fontId="3" fillId="0" borderId="12" xfId="0" applyNumberFormat="1" applyFont="1" applyBorder="1" applyAlignment="1">
      <alignment/>
    </xf>
    <xf numFmtId="10" fontId="3" fillId="0" borderId="8" xfId="0" applyNumberFormat="1" applyFont="1" applyBorder="1" applyAlignment="1">
      <alignment/>
    </xf>
    <xf numFmtId="10" fontId="3" fillId="0" borderId="17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NumberFormat="1" applyFont="1" applyBorder="1" applyAlignment="1">
      <alignment/>
    </xf>
    <xf numFmtId="49" fontId="7" fillId="6" borderId="8" xfId="0" applyNumberFormat="1" applyFont="1" applyFill="1" applyBorder="1" applyAlignment="1">
      <alignment/>
    </xf>
    <xf numFmtId="49" fontId="7" fillId="6" borderId="2" xfId="0" applyNumberFormat="1" applyFont="1" applyFill="1" applyBorder="1" applyAlignment="1">
      <alignment/>
    </xf>
    <xf numFmtId="0" fontId="7" fillId="6" borderId="11" xfId="0" applyFont="1" applyFill="1" applyBorder="1" applyAlignment="1">
      <alignment wrapText="1"/>
    </xf>
    <xf numFmtId="0" fontId="7" fillId="6" borderId="36" xfId="0" applyFont="1" applyFill="1" applyBorder="1" applyAlignment="1">
      <alignment/>
    </xf>
    <xf numFmtId="0" fontId="7" fillId="6" borderId="1" xfId="0" applyFont="1" applyFill="1" applyBorder="1" applyAlignment="1">
      <alignment/>
    </xf>
    <xf numFmtId="10" fontId="7" fillId="6" borderId="38" xfId="0" applyNumberFormat="1" applyFont="1" applyFill="1" applyBorder="1" applyAlignment="1">
      <alignment/>
    </xf>
    <xf numFmtId="10" fontId="7" fillId="6" borderId="38" xfId="0" applyNumberFormat="1" applyFont="1" applyFill="1" applyBorder="1" applyAlignment="1">
      <alignment horizontal="right"/>
    </xf>
    <xf numFmtId="0" fontId="7" fillId="6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10" fontId="7" fillId="6" borderId="4" xfId="0" applyNumberFormat="1" applyFont="1" applyFill="1" applyBorder="1" applyAlignment="1">
      <alignment/>
    </xf>
    <xf numFmtId="10" fontId="7" fillId="6" borderId="4" xfId="0" applyNumberFormat="1" applyFont="1" applyFill="1" applyBorder="1" applyAlignment="1">
      <alignment horizontal="right"/>
    </xf>
    <xf numFmtId="0" fontId="7" fillId="6" borderId="11" xfId="0" applyFont="1" applyFill="1" applyBorder="1" applyAlignment="1">
      <alignment/>
    </xf>
    <xf numFmtId="49" fontId="7" fillId="6" borderId="13" xfId="0" applyNumberFormat="1" applyFont="1" applyFill="1" applyBorder="1" applyAlignment="1">
      <alignment/>
    </xf>
    <xf numFmtId="49" fontId="7" fillId="6" borderId="19" xfId="0" applyNumberFormat="1" applyFont="1" applyFill="1" applyBorder="1" applyAlignment="1">
      <alignment/>
    </xf>
    <xf numFmtId="0" fontId="3" fillId="6" borderId="3" xfId="0" applyFont="1" applyFill="1" applyBorder="1" applyAlignment="1">
      <alignment/>
    </xf>
    <xf numFmtId="0" fontId="7" fillId="7" borderId="15" xfId="0" applyFont="1" applyFill="1" applyBorder="1" applyAlignment="1">
      <alignment/>
    </xf>
    <xf numFmtId="10" fontId="7" fillId="7" borderId="15" xfId="0" applyNumberFormat="1" applyFont="1" applyFill="1" applyBorder="1" applyAlignment="1">
      <alignment/>
    </xf>
    <xf numFmtId="10" fontId="7" fillId="7" borderId="15" xfId="0" applyNumberFormat="1" applyFont="1" applyFill="1" applyBorder="1" applyAlignment="1">
      <alignment horizontal="right"/>
    </xf>
    <xf numFmtId="0" fontId="0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right"/>
    </xf>
    <xf numFmtId="0" fontId="0" fillId="6" borderId="57" xfId="0" applyFont="1" applyFill="1" applyBorder="1" applyAlignment="1">
      <alignment horizontal="center"/>
    </xf>
    <xf numFmtId="0" fontId="6" fillId="6" borderId="8" xfId="0" applyNumberFormat="1" applyFont="1" applyFill="1" applyBorder="1" applyAlignment="1">
      <alignment/>
    </xf>
    <xf numFmtId="10" fontId="6" fillId="6" borderId="8" xfId="0" applyNumberFormat="1" applyFont="1" applyFill="1" applyBorder="1" applyAlignment="1">
      <alignment horizontal="right"/>
    </xf>
    <xf numFmtId="0" fontId="6" fillId="6" borderId="8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10" fontId="6" fillId="6" borderId="2" xfId="0" applyNumberFormat="1" applyFont="1" applyFill="1" applyBorder="1" applyAlignment="1">
      <alignment horizontal="center"/>
    </xf>
    <xf numFmtId="10" fontId="6" fillId="2" borderId="2" xfId="0" applyNumberFormat="1" applyFont="1" applyFill="1" applyBorder="1" applyAlignment="1">
      <alignment horizontal="center"/>
    </xf>
    <xf numFmtId="10" fontId="6" fillId="5" borderId="2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2" xfId="0" applyNumberFormat="1" applyFont="1" applyFill="1" applyBorder="1" applyAlignment="1">
      <alignment/>
    </xf>
    <xf numFmtId="10" fontId="6" fillId="2" borderId="2" xfId="0" applyNumberFormat="1" applyFont="1" applyFill="1" applyBorder="1" applyAlignment="1">
      <alignment horizontal="right"/>
    </xf>
    <xf numFmtId="0" fontId="6" fillId="2" borderId="2" xfId="0" applyNumberFormat="1" applyFont="1" applyFill="1" applyBorder="1" applyAlignment="1">
      <alignment horizontal="right"/>
    </xf>
    <xf numFmtId="10" fontId="0" fillId="3" borderId="2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right"/>
    </xf>
    <xf numFmtId="0" fontId="7" fillId="0" borderId="2" xfId="0" applyFont="1" applyBorder="1" applyAlignment="1">
      <alignment horizontal="left" shrinkToFit="1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 shrinkToFit="1"/>
    </xf>
    <xf numFmtId="0" fontId="3" fillId="0" borderId="2" xfId="0" applyFont="1" applyBorder="1" applyAlignment="1">
      <alignment horizontal="left" shrinkToFit="1"/>
    </xf>
    <xf numFmtId="49" fontId="7" fillId="8" borderId="8" xfId="0" applyNumberFormat="1" applyFont="1" applyFill="1" applyBorder="1" applyAlignment="1">
      <alignment/>
    </xf>
    <xf numFmtId="49" fontId="3" fillId="8" borderId="8" xfId="0" applyNumberFormat="1" applyFont="1" applyFill="1" applyBorder="1" applyAlignment="1">
      <alignment horizontal="left"/>
    </xf>
    <xf numFmtId="0" fontId="7" fillId="8" borderId="8" xfId="0" applyFont="1" applyFill="1" applyBorder="1" applyAlignment="1">
      <alignment/>
    </xf>
    <xf numFmtId="10" fontId="3" fillId="8" borderId="2" xfId="0" applyNumberFormat="1" applyFont="1" applyFill="1" applyBorder="1" applyAlignment="1">
      <alignment/>
    </xf>
    <xf numFmtId="49" fontId="7" fillId="8" borderId="2" xfId="0" applyNumberFormat="1" applyFont="1" applyFill="1" applyBorder="1" applyAlignment="1">
      <alignment/>
    </xf>
    <xf numFmtId="49" fontId="3" fillId="8" borderId="2" xfId="0" applyNumberFormat="1" applyFont="1" applyFill="1" applyBorder="1" applyAlignment="1">
      <alignment horizontal="left"/>
    </xf>
    <xf numFmtId="0" fontId="7" fillId="8" borderId="2" xfId="0" applyFont="1" applyFill="1" applyBorder="1" applyAlignment="1">
      <alignment/>
    </xf>
    <xf numFmtId="0" fontId="7" fillId="8" borderId="2" xfId="0" applyFont="1" applyFill="1" applyBorder="1" applyAlignment="1">
      <alignment horizontal="right"/>
    </xf>
    <xf numFmtId="49" fontId="7" fillId="8" borderId="2" xfId="0" applyNumberFormat="1" applyFont="1" applyFill="1" applyBorder="1" applyAlignment="1">
      <alignment horizontal="left"/>
    </xf>
    <xf numFmtId="0" fontId="7" fillId="8" borderId="2" xfId="0" applyFont="1" applyFill="1" applyBorder="1" applyAlignment="1">
      <alignment wrapText="1"/>
    </xf>
    <xf numFmtId="49" fontId="7" fillId="8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/>
    </xf>
    <xf numFmtId="10" fontId="7" fillId="8" borderId="2" xfId="0" applyNumberFormat="1" applyFont="1" applyFill="1" applyBorder="1" applyAlignment="1">
      <alignment/>
    </xf>
    <xf numFmtId="49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right"/>
    </xf>
    <xf numFmtId="49" fontId="3" fillId="4" borderId="5" xfId="0" applyNumberFormat="1" applyFont="1" applyFill="1" applyBorder="1" applyAlignment="1">
      <alignment horizontal="center"/>
    </xf>
    <xf numFmtId="49" fontId="3" fillId="4" borderId="6" xfId="0" applyNumberFormat="1" applyFont="1" applyFill="1" applyBorder="1" applyAlignment="1">
      <alignment/>
    </xf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/>
    </xf>
    <xf numFmtId="10" fontId="3" fillId="4" borderId="17" xfId="0" applyNumberFormat="1" applyFont="1" applyFill="1" applyBorder="1" applyAlignment="1">
      <alignment/>
    </xf>
    <xf numFmtId="49" fontId="7" fillId="7" borderId="2" xfId="0" applyNumberFormat="1" applyFont="1" applyFill="1" applyBorder="1" applyAlignment="1">
      <alignment horizontal="center"/>
    </xf>
    <xf numFmtId="49" fontId="7" fillId="7" borderId="2" xfId="0" applyNumberFormat="1" applyFont="1" applyFill="1" applyBorder="1" applyAlignment="1">
      <alignment/>
    </xf>
    <xf numFmtId="0" fontId="7" fillId="7" borderId="2" xfId="0" applyFont="1" applyFill="1" applyBorder="1" applyAlignment="1">
      <alignment wrapText="1"/>
    </xf>
    <xf numFmtId="0" fontId="7" fillId="7" borderId="2" xfId="0" applyFont="1" applyFill="1" applyBorder="1" applyAlignment="1">
      <alignment/>
    </xf>
    <xf numFmtId="10" fontId="3" fillId="7" borderId="2" xfId="0" applyNumberFormat="1" applyFont="1" applyFill="1" applyBorder="1" applyAlignment="1">
      <alignment/>
    </xf>
    <xf numFmtId="49" fontId="3" fillId="7" borderId="2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right"/>
    </xf>
    <xf numFmtId="49" fontId="7" fillId="7" borderId="2" xfId="0" applyNumberFormat="1" applyFont="1" applyFill="1" applyBorder="1" applyAlignment="1">
      <alignment horizontal="center" wrapText="1"/>
    </xf>
    <xf numFmtId="0" fontId="3" fillId="7" borderId="2" xfId="0" applyFont="1" applyFill="1" applyBorder="1" applyAlignment="1">
      <alignment/>
    </xf>
    <xf numFmtId="49" fontId="3" fillId="7" borderId="2" xfId="0" applyNumberFormat="1" applyFont="1" applyFill="1" applyBorder="1" applyAlignment="1">
      <alignment/>
    </xf>
    <xf numFmtId="10" fontId="7" fillId="7" borderId="2" xfId="0" applyNumberFormat="1" applyFont="1" applyFill="1" applyBorder="1" applyAlignment="1">
      <alignment/>
    </xf>
    <xf numFmtId="49" fontId="3" fillId="7" borderId="2" xfId="0" applyNumberFormat="1" applyFont="1" applyFill="1" applyBorder="1" applyAlignment="1">
      <alignment horizontal="left"/>
    </xf>
    <xf numFmtId="49" fontId="7" fillId="7" borderId="2" xfId="0" applyNumberFormat="1" applyFont="1" applyFill="1" applyBorder="1" applyAlignment="1">
      <alignment horizontal="left"/>
    </xf>
    <xf numFmtId="10" fontId="3" fillId="3" borderId="2" xfId="0" applyNumberFormat="1" applyFont="1" applyFill="1" applyBorder="1" applyAlignment="1">
      <alignment/>
    </xf>
    <xf numFmtId="0" fontId="3" fillId="0" borderId="11" xfId="0" applyFont="1" applyBorder="1" applyAlignment="1">
      <alignment horizontal="left" wrapText="1"/>
    </xf>
    <xf numFmtId="49" fontId="7" fillId="0" borderId="11" xfId="0" applyNumberFormat="1" applyFont="1" applyBorder="1" applyAlignment="1">
      <alignment wrapText="1"/>
    </xf>
    <xf numFmtId="49" fontId="7" fillId="3" borderId="2" xfId="0" applyNumberFormat="1" applyFont="1" applyFill="1" applyBorder="1" applyAlignment="1">
      <alignment/>
    </xf>
    <xf numFmtId="49" fontId="3" fillId="3" borderId="2" xfId="0" applyNumberFormat="1" applyFont="1" applyFill="1" applyBorder="1" applyAlignment="1">
      <alignment/>
    </xf>
    <xf numFmtId="0" fontId="3" fillId="3" borderId="11" xfId="0" applyFont="1" applyFill="1" applyBorder="1" applyAlignment="1">
      <alignment wrapText="1"/>
    </xf>
    <xf numFmtId="0" fontId="3" fillId="3" borderId="32" xfId="0" applyFont="1" applyFill="1" applyBorder="1" applyAlignment="1">
      <alignment/>
    </xf>
    <xf numFmtId="10" fontId="3" fillId="3" borderId="4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/>
    </xf>
    <xf numFmtId="0" fontId="3" fillId="3" borderId="11" xfId="0" applyNumberFormat="1" applyFont="1" applyFill="1" applyBorder="1" applyAlignment="1">
      <alignment/>
    </xf>
    <xf numFmtId="49" fontId="3" fillId="3" borderId="8" xfId="0" applyNumberFormat="1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3" fillId="0" borderId="12" xfId="0" applyFont="1" applyBorder="1" applyAlignment="1">
      <alignment horizontal="left" shrinkToFit="1"/>
    </xf>
    <xf numFmtId="0" fontId="7" fillId="6" borderId="8" xfId="0" applyFont="1" applyFill="1" applyBorder="1" applyAlignment="1">
      <alignment horizontal="center" shrinkToFit="1"/>
    </xf>
    <xf numFmtId="0" fontId="7" fillId="2" borderId="2" xfId="0" applyFont="1" applyFill="1" applyBorder="1" applyAlignment="1">
      <alignment horizontal="center" shrinkToFit="1"/>
    </xf>
    <xf numFmtId="0" fontId="6" fillId="0" borderId="2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43" xfId="0" applyBorder="1" applyAlignment="1">
      <alignment/>
    </xf>
    <xf numFmtId="49" fontId="6" fillId="7" borderId="8" xfId="0" applyNumberFormat="1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right"/>
    </xf>
    <xf numFmtId="10" fontId="6" fillId="7" borderId="21" xfId="0" applyNumberFormat="1" applyFont="1" applyFill="1" applyBorder="1" applyAlignment="1">
      <alignment/>
    </xf>
    <xf numFmtId="0" fontId="6" fillId="7" borderId="2" xfId="0" applyFont="1" applyFill="1" applyBorder="1" applyAlignment="1">
      <alignment horizontal="center"/>
    </xf>
    <xf numFmtId="0" fontId="6" fillId="7" borderId="2" xfId="0" applyNumberFormat="1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right"/>
    </xf>
    <xf numFmtId="0" fontId="6" fillId="7" borderId="2" xfId="0" applyFont="1" applyFill="1" applyBorder="1" applyAlignment="1">
      <alignment horizontal="right"/>
    </xf>
    <xf numFmtId="10" fontId="0" fillId="7" borderId="4" xfId="0" applyNumberFormat="1" applyFont="1" applyFill="1" applyBorder="1" applyAlignment="1">
      <alignment/>
    </xf>
    <xf numFmtId="10" fontId="6" fillId="7" borderId="11" xfId="0" applyNumberFormat="1" applyFont="1" applyFill="1" applyBorder="1" applyAlignment="1">
      <alignment horizontal="right"/>
    </xf>
    <xf numFmtId="10" fontId="6" fillId="7" borderId="4" xfId="0" applyNumberFormat="1" applyFont="1" applyFill="1" applyBorder="1" applyAlignment="1">
      <alignment/>
    </xf>
    <xf numFmtId="49" fontId="7" fillId="7" borderId="11" xfId="0" applyNumberFormat="1" applyFont="1" applyFill="1" applyBorder="1" applyAlignment="1">
      <alignment horizontal="center" wrapText="1"/>
    </xf>
    <xf numFmtId="0" fontId="0" fillId="7" borderId="2" xfId="0" applyFill="1" applyBorder="1" applyAlignment="1">
      <alignment horizontal="right"/>
    </xf>
    <xf numFmtId="10" fontId="0" fillId="7" borderId="11" xfId="0" applyNumberFormat="1" applyFont="1" applyFill="1" applyBorder="1" applyAlignment="1">
      <alignment horizontal="right"/>
    </xf>
    <xf numFmtId="0" fontId="6" fillId="0" borderId="11" xfId="0" applyFont="1" applyBorder="1" applyAlignment="1" applyProtection="1">
      <alignment horizontal="center"/>
      <protection/>
    </xf>
    <xf numFmtId="0" fontId="6" fillId="2" borderId="11" xfId="0" applyFont="1" applyFill="1" applyBorder="1" applyAlignment="1">
      <alignment/>
    </xf>
    <xf numFmtId="0" fontId="0" fillId="5" borderId="11" xfId="0" applyFill="1" applyBorder="1" applyAlignment="1">
      <alignment/>
    </xf>
    <xf numFmtId="0" fontId="6" fillId="3" borderId="11" xfId="0" applyNumberFormat="1" applyFont="1" applyFill="1" applyBorder="1" applyAlignment="1">
      <alignment/>
    </xf>
    <xf numFmtId="0" fontId="0" fillId="3" borderId="11" xfId="0" applyFill="1" applyBorder="1" applyAlignment="1">
      <alignment/>
    </xf>
    <xf numFmtId="0" fontId="0" fillId="5" borderId="11" xfId="0" applyNumberFormat="1" applyFont="1" applyFill="1" applyBorder="1" applyAlignment="1">
      <alignment/>
    </xf>
    <xf numFmtId="0" fontId="6" fillId="2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6" fillId="5" borderId="11" xfId="0" applyNumberFormat="1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6" fillId="3" borderId="11" xfId="0" applyFont="1" applyFill="1" applyBorder="1" applyAlignment="1">
      <alignment/>
    </xf>
    <xf numFmtId="0" fontId="6" fillId="4" borderId="58" xfId="0" applyNumberFormat="1" applyFont="1" applyFill="1" applyBorder="1" applyAlignment="1">
      <alignment/>
    </xf>
    <xf numFmtId="0" fontId="0" fillId="0" borderId="41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16" xfId="0" applyBorder="1" applyAlignment="1">
      <alignment/>
    </xf>
    <xf numFmtId="0" fontId="6" fillId="0" borderId="62" xfId="0" applyFont="1" applyBorder="1" applyAlignment="1" applyProtection="1">
      <alignment horizontal="center"/>
      <protection/>
    </xf>
    <xf numFmtId="10" fontId="0" fillId="2" borderId="62" xfId="0" applyNumberFormat="1" applyFont="1" applyFill="1" applyBorder="1" applyAlignment="1">
      <alignment/>
    </xf>
    <xf numFmtId="10" fontId="0" fillId="5" borderId="62" xfId="0" applyNumberFormat="1" applyFont="1" applyFill="1" applyBorder="1" applyAlignment="1">
      <alignment/>
    </xf>
    <xf numFmtId="10" fontId="0" fillId="3" borderId="62" xfId="0" applyNumberFormat="1" applyFont="1" applyFill="1" applyBorder="1" applyAlignment="1">
      <alignment/>
    </xf>
    <xf numFmtId="10" fontId="6" fillId="2" borderId="62" xfId="0" applyNumberFormat="1" applyFont="1" applyFill="1" applyBorder="1" applyAlignment="1">
      <alignment/>
    </xf>
    <xf numFmtId="10" fontId="0" fillId="3" borderId="63" xfId="0" applyNumberFormat="1" applyFont="1" applyFill="1" applyBorder="1" applyAlignment="1">
      <alignment/>
    </xf>
    <xf numFmtId="10" fontId="6" fillId="4" borderId="60" xfId="0" applyNumberFormat="1" applyFont="1" applyFill="1" applyBorder="1" applyAlignment="1">
      <alignment/>
    </xf>
    <xf numFmtId="10" fontId="0" fillId="3" borderId="64" xfId="0" applyNumberFormat="1" applyFont="1" applyFill="1" applyBorder="1" applyAlignment="1">
      <alignment/>
    </xf>
    <xf numFmtId="0" fontId="3" fillId="0" borderId="0" xfId="0" applyFont="1" applyBorder="1" applyAlignment="1" applyProtection="1">
      <alignment wrapText="1"/>
      <protection/>
    </xf>
    <xf numFmtId="0" fontId="6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4" fillId="0" borderId="30" xfId="0" applyFont="1" applyBorder="1" applyAlignment="1" applyProtection="1">
      <alignment horizontal="center" vertical="center"/>
      <protection/>
    </xf>
    <xf numFmtId="0" fontId="6" fillId="4" borderId="8" xfId="0" applyNumberFormat="1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7" borderId="5" xfId="0" applyFont="1" applyFill="1" applyBorder="1" applyAlignment="1">
      <alignment/>
    </xf>
    <xf numFmtId="0" fontId="6" fillId="7" borderId="6" xfId="0" applyFont="1" applyFill="1" applyBorder="1" applyAlignment="1">
      <alignment wrapText="1"/>
    </xf>
    <xf numFmtId="49" fontId="6" fillId="7" borderId="6" xfId="0" applyNumberFormat="1" applyFont="1" applyFill="1" applyBorder="1" applyAlignment="1">
      <alignment/>
    </xf>
    <xf numFmtId="0" fontId="6" fillId="7" borderId="6" xfId="0" applyFont="1" applyFill="1" applyBorder="1" applyAlignment="1">
      <alignment/>
    </xf>
    <xf numFmtId="10" fontId="6" fillId="7" borderId="17" xfId="0" applyNumberFormat="1" applyFont="1" applyFill="1" applyBorder="1" applyAlignment="1">
      <alignment/>
    </xf>
    <xf numFmtId="0" fontId="0" fillId="5" borderId="8" xfId="0" applyFill="1" applyBorder="1" applyAlignment="1">
      <alignment/>
    </xf>
    <xf numFmtId="0" fontId="6" fillId="5" borderId="8" xfId="0" applyFont="1" applyFill="1" applyBorder="1" applyAlignment="1">
      <alignment wrapText="1"/>
    </xf>
    <xf numFmtId="49" fontId="6" fillId="5" borderId="8" xfId="0" applyNumberFormat="1" applyFont="1" applyFill="1" applyBorder="1" applyAlignment="1">
      <alignment/>
    </xf>
    <xf numFmtId="0" fontId="6" fillId="5" borderId="8" xfId="0" applyFont="1" applyFill="1" applyBorder="1" applyAlignment="1">
      <alignment/>
    </xf>
    <xf numFmtId="10" fontId="6" fillId="5" borderId="8" xfId="0" applyNumberFormat="1" applyFont="1" applyFill="1" applyBorder="1" applyAlignment="1">
      <alignment/>
    </xf>
    <xf numFmtId="49" fontId="6" fillId="5" borderId="2" xfId="0" applyNumberFormat="1" applyFont="1" applyFill="1" applyBorder="1" applyAlignment="1">
      <alignment/>
    </xf>
    <xf numFmtId="0" fontId="6" fillId="7" borderId="2" xfId="0" applyFont="1" applyFill="1" applyBorder="1" applyAlignment="1">
      <alignment/>
    </xf>
    <xf numFmtId="0" fontId="6" fillId="7" borderId="2" xfId="0" applyFont="1" applyFill="1" applyBorder="1" applyAlignment="1">
      <alignment wrapText="1"/>
    </xf>
    <xf numFmtId="49" fontId="6" fillId="7" borderId="2" xfId="0" applyNumberFormat="1" applyFont="1" applyFill="1" applyBorder="1" applyAlignment="1">
      <alignment/>
    </xf>
    <xf numFmtId="10" fontId="6" fillId="7" borderId="2" xfId="0" applyNumberFormat="1" applyFont="1" applyFill="1" applyBorder="1" applyAlignment="1">
      <alignment/>
    </xf>
    <xf numFmtId="10" fontId="0" fillId="7" borderId="2" xfId="0" applyNumberFormat="1" applyFill="1" applyBorder="1" applyAlignment="1">
      <alignment/>
    </xf>
    <xf numFmtId="0" fontId="6" fillId="8" borderId="12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/>
    </xf>
    <xf numFmtId="49" fontId="6" fillId="8" borderId="6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10" fontId="0" fillId="8" borderId="17" xfId="0" applyNumberFormat="1" applyFill="1" applyBorder="1" applyAlignment="1">
      <alignment/>
    </xf>
    <xf numFmtId="0" fontId="6" fillId="8" borderId="15" xfId="0" applyFont="1" applyFill="1" applyBorder="1" applyAlignment="1">
      <alignment/>
    </xf>
    <xf numFmtId="0" fontId="6" fillId="0" borderId="28" xfId="0" applyFont="1" applyBorder="1" applyAlignment="1">
      <alignment horizontal="center" wrapText="1"/>
    </xf>
    <xf numFmtId="49" fontId="0" fillId="0" borderId="20" xfId="0" applyNumberFormat="1" applyBorder="1" applyAlignment="1">
      <alignment/>
    </xf>
    <xf numFmtId="49" fontId="0" fillId="0" borderId="46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6" fillId="0" borderId="20" xfId="0" applyFont="1" applyBorder="1" applyAlignment="1">
      <alignment/>
    </xf>
    <xf numFmtId="49" fontId="0" fillId="0" borderId="53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5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/>
    </xf>
    <xf numFmtId="0" fontId="6" fillId="0" borderId="6" xfId="0" applyFont="1" applyBorder="1" applyAlignment="1">
      <alignment horizontal="center" wrapText="1"/>
    </xf>
    <xf numFmtId="49" fontId="0" fillId="0" borderId="0" xfId="0" applyNumberFormat="1" applyBorder="1" applyAlignment="1">
      <alignment wrapText="1"/>
    </xf>
    <xf numFmtId="0" fontId="6" fillId="0" borderId="56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10" fontId="0" fillId="0" borderId="44" xfId="0" applyNumberFormat="1" applyBorder="1" applyAlignment="1">
      <alignment/>
    </xf>
    <xf numFmtId="10" fontId="0" fillId="0" borderId="47" xfId="0" applyNumberFormat="1" applyBorder="1" applyAlignment="1">
      <alignment/>
    </xf>
    <xf numFmtId="10" fontId="0" fillId="0" borderId="52" xfId="0" applyNumberFormat="1" applyBorder="1" applyAlignment="1">
      <alignment/>
    </xf>
    <xf numFmtId="10" fontId="6" fillId="0" borderId="44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10" fontId="6" fillId="7" borderId="2" xfId="0" applyNumberFormat="1" applyFont="1" applyFill="1" applyBorder="1" applyAlignment="1">
      <alignment horizontal="right"/>
    </xf>
    <xf numFmtId="0" fontId="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10" fontId="6" fillId="8" borderId="8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165" fontId="0" fillId="0" borderId="12" xfId="0" applyNumberFormat="1" applyFont="1" applyBorder="1" applyAlignment="1">
      <alignment horizontal="center"/>
    </xf>
    <xf numFmtId="0" fontId="6" fillId="0" borderId="28" xfId="0" applyFont="1" applyBorder="1" applyAlignment="1">
      <alignment wrapText="1"/>
    </xf>
    <xf numFmtId="0" fontId="6" fillId="0" borderId="28" xfId="0" applyFont="1" applyBorder="1" applyAlignment="1">
      <alignment horizontal="center"/>
    </xf>
    <xf numFmtId="165" fontId="6" fillId="0" borderId="12" xfId="0" applyNumberFormat="1" applyFont="1" applyBorder="1" applyAlignment="1">
      <alignment horizontal="center"/>
    </xf>
    <xf numFmtId="165" fontId="0" fillId="0" borderId="13" xfId="0" applyNumberFormat="1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165" fontId="0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0" fillId="0" borderId="8" xfId="0" applyFont="1" applyBorder="1" applyAlignment="1">
      <alignment wrapText="1"/>
    </xf>
    <xf numFmtId="0" fontId="6" fillId="8" borderId="8" xfId="0" applyFont="1" applyFill="1" applyBorder="1" applyAlignment="1">
      <alignment/>
    </xf>
    <xf numFmtId="10" fontId="6" fillId="8" borderId="2" xfId="0" applyNumberFormat="1" applyFont="1" applyFill="1" applyBorder="1" applyAlignment="1">
      <alignment/>
    </xf>
    <xf numFmtId="165" fontId="6" fillId="0" borderId="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/>
    </xf>
    <xf numFmtId="0" fontId="0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6" fillId="8" borderId="32" xfId="0" applyFont="1" applyFill="1" applyBorder="1" applyAlignment="1">
      <alignment wrapText="1"/>
    </xf>
    <xf numFmtId="0" fontId="6" fillId="8" borderId="2" xfId="0" applyFont="1" applyFill="1" applyBorder="1" applyAlignment="1">
      <alignment/>
    </xf>
    <xf numFmtId="0" fontId="6" fillId="8" borderId="2" xfId="0" applyFont="1" applyFill="1" applyBorder="1" applyAlignment="1">
      <alignment horizontal="center"/>
    </xf>
    <xf numFmtId="165" fontId="6" fillId="8" borderId="2" xfId="0" applyNumberFormat="1" applyFont="1" applyFill="1" applyBorder="1" applyAlignment="1">
      <alignment horizontal="center"/>
    </xf>
    <xf numFmtId="0" fontId="0" fillId="0" borderId="26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wrapText="1"/>
    </xf>
    <xf numFmtId="0" fontId="6" fillId="0" borderId="65" xfId="0" applyFont="1" applyBorder="1" applyAlignment="1">
      <alignment horizontal="center"/>
    </xf>
    <xf numFmtId="165" fontId="6" fillId="0" borderId="57" xfId="0" applyNumberFormat="1" applyFont="1" applyBorder="1" applyAlignment="1">
      <alignment horizontal="center"/>
    </xf>
    <xf numFmtId="0" fontId="6" fillId="8" borderId="11" xfId="0" applyFont="1" applyFill="1" applyBorder="1" applyAlignment="1">
      <alignment horizontal="right" wrapText="1"/>
    </xf>
    <xf numFmtId="0" fontId="6" fillId="8" borderId="46" xfId="0" applyFont="1" applyFill="1" applyBorder="1" applyAlignment="1">
      <alignment/>
    </xf>
    <xf numFmtId="0" fontId="6" fillId="8" borderId="32" xfId="0" applyFont="1" applyFill="1" applyBorder="1" applyAlignment="1">
      <alignment/>
    </xf>
    <xf numFmtId="165" fontId="6" fillId="8" borderId="32" xfId="0" applyNumberFormat="1" applyFont="1" applyFill="1" applyBorder="1" applyAlignment="1">
      <alignment horizontal="center"/>
    </xf>
    <xf numFmtId="0" fontId="0" fillId="8" borderId="2" xfId="0" applyFont="1" applyFill="1" applyBorder="1" applyAlignment="1">
      <alignment/>
    </xf>
    <xf numFmtId="0" fontId="6" fillId="8" borderId="57" xfId="0" applyFont="1" applyFill="1" applyBorder="1" applyAlignment="1">
      <alignment wrapText="1"/>
    </xf>
    <xf numFmtId="0" fontId="6" fillId="8" borderId="45" xfId="0" applyFont="1" applyFill="1" applyBorder="1" applyAlignment="1">
      <alignment/>
    </xf>
    <xf numFmtId="0" fontId="0" fillId="0" borderId="45" xfId="0" applyFont="1" applyBorder="1" applyAlignment="1">
      <alignment/>
    </xf>
    <xf numFmtId="0" fontId="6" fillId="0" borderId="45" xfId="0" applyFont="1" applyBorder="1" applyAlignment="1">
      <alignment/>
    </xf>
    <xf numFmtId="0" fontId="0" fillId="0" borderId="52" xfId="0" applyFont="1" applyBorder="1" applyAlignment="1">
      <alignment/>
    </xf>
    <xf numFmtId="0" fontId="6" fillId="8" borderId="44" xfId="0" applyFont="1" applyFill="1" applyBorder="1" applyAlignment="1">
      <alignment/>
    </xf>
    <xf numFmtId="0" fontId="0" fillId="7" borderId="2" xfId="0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right"/>
    </xf>
    <xf numFmtId="10" fontId="0" fillId="3" borderId="2" xfId="0" applyNumberFormat="1" applyFont="1" applyFill="1" applyBorder="1" applyAlignment="1">
      <alignment horizontal="right"/>
    </xf>
    <xf numFmtId="10" fontId="0" fillId="7" borderId="2" xfId="0" applyNumberFormat="1" applyFont="1" applyFill="1" applyBorder="1" applyAlignment="1">
      <alignment horizontal="right"/>
    </xf>
    <xf numFmtId="10" fontId="3" fillId="0" borderId="11" xfId="0" applyNumberFormat="1" applyFont="1" applyBorder="1" applyAlignment="1">
      <alignment horizontal="left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49" fontId="6" fillId="7" borderId="11" xfId="0" applyNumberFormat="1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left"/>
    </xf>
    <xf numFmtId="49" fontId="6" fillId="7" borderId="11" xfId="0" applyNumberFormat="1" applyFont="1" applyFill="1" applyBorder="1" applyAlignment="1">
      <alignment horizontal="left"/>
    </xf>
    <xf numFmtId="0" fontId="6" fillId="7" borderId="11" xfId="0" applyFont="1" applyFill="1" applyBorder="1" applyAlignment="1">
      <alignment horizontal="center" wrapText="1"/>
    </xf>
    <xf numFmtId="0" fontId="6" fillId="7" borderId="1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0" fillId="0" borderId="57" xfId="0" applyBorder="1" applyAlignment="1">
      <alignment horizontal="right"/>
    </xf>
    <xf numFmtId="10" fontId="0" fillId="0" borderId="19" xfId="0" applyNumberFormat="1" applyFont="1" applyBorder="1" applyAlignment="1">
      <alignment horizontal="right"/>
    </xf>
    <xf numFmtId="0" fontId="0" fillId="0" borderId="57" xfId="0" applyBorder="1" applyAlignment="1">
      <alignment/>
    </xf>
    <xf numFmtId="10" fontId="0" fillId="0" borderId="21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0" fillId="0" borderId="9" xfId="0" applyBorder="1" applyAlignment="1">
      <alignment horizontal="right"/>
    </xf>
    <xf numFmtId="10" fontId="0" fillId="0" borderId="39" xfId="0" applyNumberFormat="1" applyFont="1" applyBorder="1" applyAlignment="1">
      <alignment horizontal="right"/>
    </xf>
    <xf numFmtId="10" fontId="0" fillId="0" borderId="24" xfId="0" applyNumberFormat="1" applyFont="1" applyBorder="1" applyAlignment="1">
      <alignment/>
    </xf>
    <xf numFmtId="0" fontId="0" fillId="7" borderId="6" xfId="0" applyFill="1" applyBorder="1" applyAlignment="1">
      <alignment horizontal="center"/>
    </xf>
    <xf numFmtId="49" fontId="6" fillId="7" borderId="56" xfId="0" applyNumberFormat="1" applyFont="1" applyFill="1" applyBorder="1" applyAlignment="1">
      <alignment/>
    </xf>
    <xf numFmtId="0" fontId="6" fillId="7" borderId="5" xfId="0" applyFont="1" applyFill="1" applyBorder="1" applyAlignment="1">
      <alignment horizontal="right"/>
    </xf>
    <xf numFmtId="10" fontId="6" fillId="7" borderId="56" xfId="0" applyNumberFormat="1" applyFont="1" applyFill="1" applyBorder="1" applyAlignment="1">
      <alignment horizontal="right"/>
    </xf>
    <xf numFmtId="0" fontId="0" fillId="7" borderId="61" xfId="0" applyFill="1" applyBorder="1" applyAlignment="1">
      <alignment/>
    </xf>
    <xf numFmtId="0" fontId="0" fillId="0" borderId="12" xfId="0" applyBorder="1" applyAlignment="1">
      <alignment horizontal="center"/>
    </xf>
    <xf numFmtId="49" fontId="3" fillId="0" borderId="28" xfId="0" applyNumberFormat="1" applyFont="1" applyBorder="1" applyAlignment="1">
      <alignment wrapText="1"/>
    </xf>
    <xf numFmtId="0" fontId="0" fillId="0" borderId="22" xfId="0" applyBorder="1" applyAlignment="1">
      <alignment horizontal="right"/>
    </xf>
    <xf numFmtId="0" fontId="0" fillId="0" borderId="12" xfId="0" applyBorder="1" applyAlignment="1">
      <alignment horizontal="right"/>
    </xf>
    <xf numFmtId="10" fontId="0" fillId="0" borderId="23" xfId="0" applyNumberFormat="1" applyFont="1" applyBorder="1" applyAlignment="1">
      <alignment/>
    </xf>
    <xf numFmtId="0" fontId="6" fillId="6" borderId="5" xfId="0" applyFont="1" applyFill="1" applyBorder="1" applyAlignment="1">
      <alignment/>
    </xf>
    <xf numFmtId="0" fontId="6" fillId="6" borderId="6" xfId="0" applyFont="1" applyFill="1" applyBorder="1" applyAlignment="1">
      <alignment/>
    </xf>
    <xf numFmtId="0" fontId="6" fillId="6" borderId="6" xfId="0" applyFont="1" applyFill="1" applyBorder="1" applyAlignment="1">
      <alignment horizontal="center"/>
    </xf>
    <xf numFmtId="49" fontId="6" fillId="6" borderId="56" xfId="0" applyNumberFormat="1" applyFont="1" applyFill="1" applyBorder="1" applyAlignment="1">
      <alignment wrapText="1"/>
    </xf>
    <xf numFmtId="0" fontId="6" fillId="6" borderId="5" xfId="0" applyFont="1" applyFill="1" applyBorder="1" applyAlignment="1">
      <alignment horizontal="right"/>
    </xf>
    <xf numFmtId="10" fontId="6" fillId="6" borderId="56" xfId="0" applyNumberFormat="1" applyFont="1" applyFill="1" applyBorder="1" applyAlignment="1">
      <alignment horizontal="right"/>
    </xf>
    <xf numFmtId="10" fontId="6" fillId="6" borderId="17" xfId="0" applyNumberFormat="1" applyFont="1" applyFill="1" applyBorder="1" applyAlignment="1">
      <alignment/>
    </xf>
    <xf numFmtId="0" fontId="6" fillId="6" borderId="5" xfId="0" applyFont="1" applyFill="1" applyBorder="1" applyAlignment="1">
      <alignment horizontal="center"/>
    </xf>
    <xf numFmtId="0" fontId="6" fillId="6" borderId="56" xfId="0" applyFont="1" applyFill="1" applyBorder="1" applyAlignment="1">
      <alignment/>
    </xf>
    <xf numFmtId="0" fontId="6" fillId="6" borderId="16" xfId="0" applyFont="1" applyFill="1" applyBorder="1" applyAlignment="1">
      <alignment/>
    </xf>
    <xf numFmtId="0" fontId="6" fillId="6" borderId="66" xfId="0" applyFont="1" applyFill="1" applyBorder="1" applyAlignment="1">
      <alignment horizontal="center"/>
    </xf>
    <xf numFmtId="0" fontId="6" fillId="6" borderId="67" xfId="0" applyFont="1" applyFill="1" applyBorder="1" applyAlignment="1">
      <alignment/>
    </xf>
    <xf numFmtId="0" fontId="6" fillId="6" borderId="68" xfId="0" applyFont="1" applyFill="1" applyBorder="1" applyAlignment="1">
      <alignment/>
    </xf>
    <xf numFmtId="0" fontId="6" fillId="6" borderId="31" xfId="0" applyFont="1" applyFill="1" applyBorder="1" applyAlignment="1">
      <alignment/>
    </xf>
    <xf numFmtId="10" fontId="6" fillId="6" borderId="8" xfId="0" applyNumberFormat="1" applyFont="1" applyFill="1" applyBorder="1" applyAlignment="1">
      <alignment/>
    </xf>
    <xf numFmtId="0" fontId="6" fillId="6" borderId="6" xfId="0" applyFont="1" applyFill="1" applyBorder="1" applyAlignment="1">
      <alignment horizontal="center" shrinkToFit="1"/>
    </xf>
    <xf numFmtId="0" fontId="6" fillId="6" borderId="15" xfId="0" applyFont="1" applyFill="1" applyBorder="1" applyAlignment="1">
      <alignment horizontal="center"/>
    </xf>
    <xf numFmtId="0" fontId="6" fillId="6" borderId="43" xfId="0" applyFont="1" applyFill="1" applyBorder="1" applyAlignment="1">
      <alignment wrapText="1"/>
    </xf>
    <xf numFmtId="10" fontId="6" fillId="6" borderId="15" xfId="0" applyNumberFormat="1" applyFont="1" applyFill="1" applyBorder="1" applyAlignment="1">
      <alignment/>
    </xf>
    <xf numFmtId="49" fontId="6" fillId="3" borderId="43" xfId="0" applyNumberFormat="1" applyFont="1" applyFill="1" applyBorder="1" applyAlignment="1">
      <alignment/>
    </xf>
    <xf numFmtId="0" fontId="6" fillId="3" borderId="56" xfId="0" applyFont="1" applyFill="1" applyBorder="1" applyAlignment="1">
      <alignment/>
    </xf>
    <xf numFmtId="10" fontId="6" fillId="3" borderId="15" xfId="0" applyNumberFormat="1" applyFont="1" applyFill="1" applyBorder="1" applyAlignment="1">
      <alignment/>
    </xf>
    <xf numFmtId="0" fontId="6" fillId="5" borderId="56" xfId="0" applyFont="1" applyFill="1" applyBorder="1" applyAlignment="1">
      <alignment/>
    </xf>
    <xf numFmtId="10" fontId="6" fillId="5" borderId="15" xfId="0" applyNumberFormat="1" applyFont="1" applyFill="1" applyBorder="1" applyAlignment="1">
      <alignment/>
    </xf>
    <xf numFmtId="0" fontId="6" fillId="5" borderId="15" xfId="0" applyFont="1" applyFill="1" applyBorder="1" applyAlignment="1">
      <alignment horizontal="center"/>
    </xf>
    <xf numFmtId="0" fontId="6" fillId="5" borderId="43" xfId="0" applyFont="1" applyFill="1" applyBorder="1" applyAlignment="1">
      <alignment/>
    </xf>
    <xf numFmtId="0" fontId="6" fillId="5" borderId="47" xfId="0" applyFont="1" applyFill="1" applyBorder="1" applyAlignment="1">
      <alignment horizontal="center"/>
    </xf>
    <xf numFmtId="0" fontId="6" fillId="5" borderId="30" xfId="0" applyFont="1" applyFill="1" applyBorder="1" applyAlignment="1">
      <alignment/>
    </xf>
    <xf numFmtId="0" fontId="6" fillId="5" borderId="16" xfId="0" applyFont="1" applyFill="1" applyBorder="1" applyAlignment="1">
      <alignment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/>
    </xf>
    <xf numFmtId="0" fontId="6" fillId="5" borderId="17" xfId="0" applyFont="1" applyFill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41" fontId="13" fillId="0" borderId="1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41" fontId="13" fillId="0" borderId="12" xfId="0" applyNumberFormat="1" applyFont="1" applyBorder="1" applyAlignment="1">
      <alignment horizontal="left"/>
    </xf>
    <xf numFmtId="0" fontId="13" fillId="0" borderId="8" xfId="0" applyFont="1" applyBorder="1" applyAlignment="1">
      <alignment horizontal="center" wrapText="1"/>
    </xf>
    <xf numFmtId="41" fontId="13" fillId="0" borderId="26" xfId="0" applyNumberFormat="1" applyFont="1" applyBorder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2" borderId="27" xfId="0" applyFont="1" applyFill="1" applyBorder="1" applyAlignment="1">
      <alignment horizontal="center" wrapText="1"/>
    </xf>
    <xf numFmtId="41" fontId="12" fillId="2" borderId="12" xfId="0" applyNumberFormat="1" applyFont="1" applyFill="1" applyBorder="1" applyAlignment="1">
      <alignment horizontal="left"/>
    </xf>
    <xf numFmtId="41" fontId="12" fillId="2" borderId="26" xfId="0" applyNumberFormat="1" applyFont="1" applyFill="1" applyBorder="1" applyAlignment="1">
      <alignment horizontal="center"/>
    </xf>
    <xf numFmtId="41" fontId="12" fillId="2" borderId="0" xfId="0" applyNumberFormat="1" applyFont="1" applyFill="1" applyBorder="1" applyAlignment="1">
      <alignment horizontal="center"/>
    </xf>
    <xf numFmtId="41" fontId="12" fillId="2" borderId="26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41" fontId="13" fillId="3" borderId="12" xfId="0" applyNumberFormat="1" applyFont="1" applyFill="1" applyBorder="1" applyAlignment="1">
      <alignment horizontal="left"/>
    </xf>
    <xf numFmtId="41" fontId="13" fillId="3" borderId="32" xfId="0" applyNumberFormat="1" applyFont="1" applyFill="1" applyBorder="1" applyAlignment="1">
      <alignment horizontal="center"/>
    </xf>
    <xf numFmtId="41" fontId="13" fillId="3" borderId="46" xfId="0" applyNumberFormat="1" applyFont="1" applyFill="1" applyBorder="1" applyAlignment="1">
      <alignment horizontal="center"/>
    </xf>
    <xf numFmtId="41" fontId="13" fillId="3" borderId="2" xfId="0" applyNumberFormat="1" applyFont="1" applyFill="1" applyBorder="1" applyAlignment="1">
      <alignment horizontal="center"/>
    </xf>
    <xf numFmtId="41" fontId="13" fillId="3" borderId="2" xfId="0" applyNumberFormat="1" applyFont="1" applyFill="1" applyBorder="1" applyAlignment="1">
      <alignment horizontal="left"/>
    </xf>
    <xf numFmtId="0" fontId="13" fillId="0" borderId="8" xfId="0" applyFont="1" applyBorder="1" applyAlignment="1">
      <alignment horizontal="center"/>
    </xf>
    <xf numFmtId="41" fontId="13" fillId="3" borderId="57" xfId="0" applyNumberFormat="1" applyFont="1" applyFill="1" applyBorder="1" applyAlignment="1">
      <alignment horizontal="center"/>
    </xf>
    <xf numFmtId="41" fontId="13" fillId="3" borderId="0" xfId="0" applyNumberFormat="1" applyFont="1" applyFill="1" applyBorder="1" applyAlignment="1">
      <alignment horizontal="center"/>
    </xf>
    <xf numFmtId="41" fontId="13" fillId="3" borderId="8" xfId="0" applyNumberFormat="1" applyFont="1" applyFill="1" applyBorder="1" applyAlignment="1">
      <alignment horizontal="center"/>
    </xf>
    <xf numFmtId="41" fontId="13" fillId="3" borderId="8" xfId="0" applyNumberFormat="1" applyFont="1" applyFill="1" applyBorder="1" applyAlignment="1">
      <alignment horizontal="left"/>
    </xf>
    <xf numFmtId="41" fontId="13" fillId="0" borderId="8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/>
    </xf>
    <xf numFmtId="41" fontId="12" fillId="2" borderId="2" xfId="0" applyNumberFormat="1" applyFont="1" applyFill="1" applyBorder="1" applyAlignment="1">
      <alignment horizontal="left"/>
    </xf>
    <xf numFmtId="41" fontId="12" fillId="2" borderId="8" xfId="0" applyNumberFormat="1" applyFont="1" applyFill="1" applyBorder="1" applyAlignment="1">
      <alignment horizontal="center"/>
    </xf>
    <xf numFmtId="41" fontId="12" fillId="2" borderId="8" xfId="0" applyNumberFormat="1" applyFont="1" applyFill="1" applyBorder="1" applyAlignment="1">
      <alignment horizontal="left"/>
    </xf>
    <xf numFmtId="41" fontId="12" fillId="2" borderId="2" xfId="0" applyNumberFormat="1" applyFont="1" applyFill="1" applyBorder="1" applyAlignment="1">
      <alignment horizontal="center"/>
    </xf>
    <xf numFmtId="41" fontId="12" fillId="0" borderId="8" xfId="0" applyNumberFormat="1" applyFont="1" applyBorder="1" applyAlignment="1">
      <alignment horizontal="center"/>
    </xf>
    <xf numFmtId="41" fontId="13" fillId="0" borderId="8" xfId="0" applyNumberFormat="1" applyFont="1" applyBorder="1" applyAlignment="1">
      <alignment horizontal="left"/>
    </xf>
    <xf numFmtId="0" fontId="13" fillId="0" borderId="8" xfId="0" applyFont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1" fontId="13" fillId="2" borderId="0" xfId="0" applyNumberFormat="1" applyFont="1" applyFill="1" applyBorder="1" applyAlignment="1">
      <alignment horizontal="center"/>
    </xf>
    <xf numFmtId="41" fontId="12" fillId="0" borderId="2" xfId="0" applyNumberFormat="1" applyFont="1" applyBorder="1" applyAlignment="1">
      <alignment horizontal="left"/>
    </xf>
    <xf numFmtId="41" fontId="12" fillId="0" borderId="8" xfId="0" applyNumberFormat="1" applyFont="1" applyBorder="1" applyAlignment="1">
      <alignment horizontal="left"/>
    </xf>
    <xf numFmtId="0" fontId="13" fillId="0" borderId="8" xfId="0" applyFont="1" applyBorder="1" applyAlignment="1">
      <alignment/>
    </xf>
    <xf numFmtId="41" fontId="13" fillId="0" borderId="2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wrapText="1"/>
    </xf>
    <xf numFmtId="41" fontId="3" fillId="0" borderId="0" xfId="0" applyNumberFormat="1" applyFont="1" applyAlignment="1">
      <alignment/>
    </xf>
    <xf numFmtId="0" fontId="3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/>
    </xf>
    <xf numFmtId="165" fontId="7" fillId="2" borderId="2" xfId="0" applyNumberFormat="1" applyFont="1" applyFill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13" fillId="0" borderId="32" xfId="0" applyFont="1" applyBorder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2" fillId="6" borderId="2" xfId="0" applyFont="1" applyFill="1" applyBorder="1" applyAlignment="1">
      <alignment horizontal="center" vertical="center" wrapText="1"/>
    </xf>
    <xf numFmtId="41" fontId="15" fillId="0" borderId="2" xfId="0" applyNumberFormat="1" applyFont="1" applyBorder="1" applyAlignment="1">
      <alignment horizontal="center" vertical="center" wrapText="1"/>
    </xf>
    <xf numFmtId="41" fontId="15" fillId="0" borderId="2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0" fontId="12" fillId="7" borderId="7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7" fillId="5" borderId="6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/>
    </xf>
    <xf numFmtId="0" fontId="6" fillId="5" borderId="16" xfId="0" applyFont="1" applyFill="1" applyBorder="1" applyAlignment="1">
      <alignment horizontal="center" wrapText="1"/>
    </xf>
    <xf numFmtId="0" fontId="0" fillId="5" borderId="5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0" xfId="0" applyFill="1" applyBorder="1" applyAlignment="1">
      <alignment/>
    </xf>
    <xf numFmtId="0" fontId="7" fillId="6" borderId="12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10" fontId="0" fillId="3" borderId="60" xfId="0" applyNumberFormat="1" applyFont="1" applyFill="1" applyBorder="1" applyAlignment="1">
      <alignment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righ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/>
      <protection/>
    </xf>
    <xf numFmtId="0" fontId="7" fillId="0" borderId="60" xfId="0" applyFont="1" applyBorder="1" applyAlignment="1" applyProtection="1">
      <alignment horizontal="center" vertical="center" wrapText="1"/>
      <protection/>
    </xf>
    <xf numFmtId="0" fontId="7" fillId="0" borderId="71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6" fillId="0" borderId="2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49" fontId="0" fillId="0" borderId="2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/>
    </xf>
    <xf numFmtId="49" fontId="0" fillId="0" borderId="2" xfId="0" applyNumberFormat="1" applyBorder="1" applyAlignment="1">
      <alignment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2" xfId="0" applyFont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7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3" borderId="27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3" fillId="0" borderId="5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7" fillId="3" borderId="26" xfId="0" applyFont="1" applyFill="1" applyBorder="1" applyAlignment="1">
      <alignment horizontal="center" vertical="center" wrapText="1"/>
    </xf>
    <xf numFmtId="0" fontId="7" fillId="3" borderId="65" xfId="0" applyFont="1" applyFill="1" applyBorder="1" applyAlignment="1">
      <alignment horizontal="center" vertical="center" wrapText="1"/>
    </xf>
    <xf numFmtId="0" fontId="7" fillId="3" borderId="73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7" borderId="16" xfId="0" applyFont="1" applyFill="1" applyBorder="1" applyAlignment="1">
      <alignment horizontal="center"/>
    </xf>
    <xf numFmtId="0" fontId="7" fillId="7" borderId="43" xfId="0" applyFont="1" applyFill="1" applyBorder="1" applyAlignment="1">
      <alignment horizontal="center"/>
    </xf>
    <xf numFmtId="0" fontId="7" fillId="7" borderId="64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33" xfId="0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shrinkToFit="1"/>
    </xf>
    <xf numFmtId="0" fontId="6" fillId="0" borderId="47" xfId="0" applyFont="1" applyBorder="1" applyAlignment="1">
      <alignment horizontal="center" shrinkToFi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9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6" fillId="3" borderId="37" xfId="0" applyFont="1" applyFill="1" applyBorder="1" applyAlignment="1">
      <alignment horizontal="center" wrapText="1"/>
    </xf>
    <xf numFmtId="0" fontId="6" fillId="3" borderId="28" xfId="0" applyFont="1" applyFill="1" applyBorder="1" applyAlignment="1">
      <alignment horizontal="center" wrapText="1"/>
    </xf>
    <xf numFmtId="0" fontId="6" fillId="3" borderId="51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7" fillId="6" borderId="12" xfId="0" applyFont="1" applyFill="1" applyBorder="1" applyAlignment="1">
      <alignment horizontal="center" vertical="center"/>
    </xf>
    <xf numFmtId="0" fontId="0" fillId="6" borderId="13" xfId="0" applyFill="1" applyBorder="1" applyAlignment="1">
      <alignment horizontal="center"/>
    </xf>
    <xf numFmtId="0" fontId="0" fillId="6" borderId="67" xfId="0" applyFill="1" applyBorder="1" applyAlignment="1">
      <alignment horizontal="center"/>
    </xf>
    <xf numFmtId="0" fontId="7" fillId="6" borderId="12" xfId="0" applyFont="1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6" borderId="67" xfId="0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/>
    </xf>
    <xf numFmtId="0" fontId="7" fillId="6" borderId="46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9" fillId="0" borderId="20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3" fillId="0" borderId="2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 wrapText="1"/>
    </xf>
    <xf numFmtId="0" fontId="12" fillId="0" borderId="20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1" fontId="15" fillId="0" borderId="12" xfId="0" applyNumberFormat="1" applyFont="1" applyBorder="1" applyAlignment="1">
      <alignment horizontal="center" vertical="center" wrapText="1"/>
    </xf>
    <xf numFmtId="41" fontId="15" fillId="0" borderId="13" xfId="0" applyNumberFormat="1" applyFont="1" applyBorder="1" applyAlignment="1">
      <alignment horizontal="center" vertical="center" wrapText="1"/>
    </xf>
    <xf numFmtId="41" fontId="15" fillId="0" borderId="8" xfId="0" applyNumberFormat="1" applyFont="1" applyBorder="1" applyAlignment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8" fillId="6" borderId="13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/>
    </xf>
    <xf numFmtId="0" fontId="8" fillId="6" borderId="46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41" fontId="15" fillId="0" borderId="12" xfId="0" applyNumberFormat="1" applyFont="1" applyBorder="1" applyAlignment="1">
      <alignment horizontal="center" wrapText="1"/>
    </xf>
    <xf numFmtId="41" fontId="15" fillId="0" borderId="13" xfId="0" applyNumberFormat="1" applyFont="1" applyBorder="1" applyAlignment="1">
      <alignment horizontal="center" wrapText="1"/>
    </xf>
    <xf numFmtId="41" fontId="15" fillId="0" borderId="8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7" borderId="34" xfId="0" applyFont="1" applyFill="1" applyBorder="1" applyAlignment="1">
      <alignment horizontal="center" vertical="center" wrapText="1"/>
    </xf>
    <xf numFmtId="0" fontId="12" fillId="7" borderId="67" xfId="0" applyFont="1" applyFill="1" applyBorder="1" applyAlignment="1">
      <alignment horizontal="center" vertical="center" wrapText="1"/>
    </xf>
    <xf numFmtId="0" fontId="12" fillId="7" borderId="72" xfId="0" applyFont="1" applyFill="1" applyBorder="1" applyAlignment="1">
      <alignment horizontal="center" vertical="center" wrapText="1"/>
    </xf>
    <xf numFmtId="0" fontId="12" fillId="7" borderId="69" xfId="0" applyFont="1" applyFill="1" applyBorder="1" applyAlignment="1">
      <alignment horizontal="center" vertical="center" wrapText="1"/>
    </xf>
    <xf numFmtId="0" fontId="12" fillId="7" borderId="68" xfId="0" applyFont="1" applyFill="1" applyBorder="1" applyAlignment="1">
      <alignment horizontal="center" vertical="center" wrapText="1"/>
    </xf>
    <xf numFmtId="0" fontId="12" fillId="7" borderId="70" xfId="0" applyFont="1" applyFill="1" applyBorder="1" applyAlignment="1">
      <alignment horizontal="center" vertical="center" wrapText="1"/>
    </xf>
    <xf numFmtId="0" fontId="12" fillId="7" borderId="38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/>
    </xf>
    <xf numFmtId="0" fontId="7" fillId="7" borderId="66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horizontal="center" vertical="center"/>
    </xf>
    <xf numFmtId="0" fontId="7" fillId="7" borderId="6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shrinkToFit="1"/>
    </xf>
    <xf numFmtId="0" fontId="0" fillId="0" borderId="0" xfId="0" applyFont="1" applyAlignment="1">
      <alignment horizontal="center" shrinkToFit="1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6" fillId="8" borderId="16" xfId="0" applyFont="1" applyFill="1" applyBorder="1" applyAlignment="1">
      <alignment horizontal="center"/>
    </xf>
    <xf numFmtId="0" fontId="6" fillId="8" borderId="64" xfId="0" applyFont="1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64" xfId="0" applyBorder="1" applyAlignment="1">
      <alignment horizontal="center" wrapText="1"/>
    </xf>
    <xf numFmtId="0" fontId="6" fillId="5" borderId="16" xfId="0" applyFont="1" applyFill="1" applyBorder="1" applyAlignment="1">
      <alignment horizontal="center" wrapText="1"/>
    </xf>
    <xf numFmtId="0" fontId="6" fillId="5" borderId="43" xfId="0" applyFont="1" applyFill="1" applyBorder="1" applyAlignment="1">
      <alignment horizontal="center" wrapText="1"/>
    </xf>
    <xf numFmtId="0" fontId="6" fillId="5" borderId="49" xfId="0" applyFont="1" applyFill="1" applyBorder="1" applyAlignment="1">
      <alignment horizontal="center"/>
    </xf>
    <xf numFmtId="0" fontId="6" fillId="5" borderId="5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6" fillId="8" borderId="43" xfId="0" applyFont="1" applyFill="1" applyBorder="1" applyAlignment="1">
      <alignment horizontal="center"/>
    </xf>
    <xf numFmtId="0" fontId="6" fillId="8" borderId="6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2:AH992"/>
  <sheetViews>
    <sheetView workbookViewId="0" topLeftCell="A2">
      <selection activeCell="U10" sqref="U10"/>
    </sheetView>
  </sheetViews>
  <sheetFormatPr defaultColWidth="9.00390625" defaultRowHeight="12.75"/>
  <cols>
    <col min="1" max="1" width="4.125" style="1" customWidth="1"/>
    <col min="2" max="2" width="34.75390625" style="0" customWidth="1"/>
    <col min="3" max="3" width="6.75390625" style="0" customWidth="1"/>
    <col min="4" max="4" width="7.125" style="0" customWidth="1"/>
    <col min="5" max="5" width="6.25390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1.00390625" style="0" hidden="1" customWidth="1"/>
    <col min="17" max="17" width="10.875" style="0" hidden="1" customWidth="1"/>
    <col min="18" max="18" width="3.00390625" style="0" hidden="1" customWidth="1"/>
    <col min="19" max="19" width="11.125" style="0" customWidth="1"/>
    <col min="20" max="20" width="11.75390625" style="29" customWidth="1"/>
    <col min="21" max="21" width="11.00390625" style="0" customWidth="1"/>
  </cols>
  <sheetData>
    <row r="1" ht="12.75" hidden="1"/>
    <row r="2" spans="1:20" s="3" customFormat="1" ht="12.75" customHeight="1">
      <c r="A2" s="2"/>
      <c r="C2" s="794" t="s">
        <v>747</v>
      </c>
      <c r="D2" s="794"/>
      <c r="E2" s="794"/>
      <c r="F2" s="794"/>
      <c r="G2" s="794"/>
      <c r="H2" s="794"/>
      <c r="I2" s="794"/>
      <c r="J2" s="794"/>
      <c r="K2" s="794"/>
      <c r="L2" s="794"/>
      <c r="M2" s="794"/>
      <c r="N2" s="794"/>
      <c r="O2" s="794"/>
      <c r="P2" s="794"/>
      <c r="Q2" s="794"/>
      <c r="R2" s="794"/>
      <c r="S2" s="794"/>
      <c r="T2" s="794"/>
    </row>
    <row r="3" spans="1:20" s="3" customFormat="1" ht="12.75" customHeight="1">
      <c r="A3" s="2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</row>
    <row r="4" spans="1:20" s="3" customFormat="1" ht="12" customHeight="1">
      <c r="A4" s="2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T4" s="523"/>
    </row>
    <row r="5" spans="1:20" s="3" customFormat="1" ht="21.75" customHeight="1" hidden="1">
      <c r="A5" s="2"/>
      <c r="T5" s="13"/>
    </row>
    <row r="6" spans="1:20" s="3" customFormat="1" ht="1.5" customHeight="1" hidden="1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3" customFormat="1" ht="9.75" customHeight="1" hidden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3" customFormat="1" ht="0.75" customHeight="1" hidden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3" customFormat="1" ht="9.75" customHeight="1" hidden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7" customFormat="1" ht="24" customHeight="1">
      <c r="A10" s="6" t="s">
        <v>619</v>
      </c>
      <c r="B10" s="796" t="s">
        <v>844</v>
      </c>
      <c r="C10" s="796"/>
      <c r="D10" s="796"/>
      <c r="E10" s="796"/>
      <c r="F10" s="796"/>
      <c r="G10" s="796"/>
      <c r="H10" s="796"/>
      <c r="I10" s="796"/>
      <c r="J10" s="796"/>
      <c r="K10" s="796"/>
      <c r="L10" s="796"/>
      <c r="M10" s="796"/>
      <c r="N10" s="796"/>
      <c r="O10" s="796"/>
      <c r="P10" s="796"/>
      <c r="Q10" s="796"/>
      <c r="R10" s="796"/>
      <c r="S10" s="796"/>
      <c r="T10" s="796"/>
    </row>
    <row r="11" spans="1:20" s="3" customFormat="1" ht="50.2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26"/>
    </row>
    <row r="12" spans="1:21" s="3" customFormat="1" ht="13.5" customHeight="1">
      <c r="A12" s="786" t="s">
        <v>1</v>
      </c>
      <c r="B12" s="788" t="s">
        <v>2</v>
      </c>
      <c r="C12" s="788" t="s">
        <v>3</v>
      </c>
      <c r="D12" s="788"/>
      <c r="E12" s="788"/>
      <c r="F12" s="9"/>
      <c r="G12" s="9"/>
      <c r="H12" s="9"/>
      <c r="I12" s="9"/>
      <c r="J12" s="8"/>
      <c r="K12" s="10"/>
      <c r="L12" s="10"/>
      <c r="M12" s="788" t="s">
        <v>4</v>
      </c>
      <c r="N12" s="790" t="s">
        <v>5</v>
      </c>
      <c r="O12" s="790"/>
      <c r="P12" s="785" t="s">
        <v>6</v>
      </c>
      <c r="Q12" s="808" t="s">
        <v>7</v>
      </c>
      <c r="R12" s="808" t="s">
        <v>8</v>
      </c>
      <c r="S12" s="798" t="s">
        <v>201</v>
      </c>
      <c r="T12" s="797" t="s">
        <v>200</v>
      </c>
      <c r="U12" s="791" t="s">
        <v>199</v>
      </c>
    </row>
    <row r="13" spans="1:21" s="3" customFormat="1" ht="18.75" customHeight="1">
      <c r="A13" s="787"/>
      <c r="B13" s="789"/>
      <c r="C13" s="789"/>
      <c r="D13" s="789"/>
      <c r="E13" s="789"/>
      <c r="F13" s="795" t="s">
        <v>9</v>
      </c>
      <c r="G13" s="801" t="s">
        <v>10</v>
      </c>
      <c r="H13" s="801" t="s">
        <v>11</v>
      </c>
      <c r="I13" s="12" t="s">
        <v>12</v>
      </c>
      <c r="J13" s="11"/>
      <c r="K13" s="801" t="s">
        <v>13</v>
      </c>
      <c r="L13" s="801" t="s">
        <v>14</v>
      </c>
      <c r="M13" s="789"/>
      <c r="N13" s="801" t="s">
        <v>15</v>
      </c>
      <c r="O13" s="801" t="s">
        <v>16</v>
      </c>
      <c r="P13" s="801"/>
      <c r="Q13" s="809"/>
      <c r="R13" s="809"/>
      <c r="S13" s="799"/>
      <c r="T13" s="809"/>
      <c r="U13" s="792"/>
    </row>
    <row r="14" spans="1:21" s="3" customFormat="1" ht="7.5" customHeight="1">
      <c r="A14" s="787"/>
      <c r="B14" s="789"/>
      <c r="C14" s="789"/>
      <c r="D14" s="789"/>
      <c r="E14" s="789"/>
      <c r="F14" s="795"/>
      <c r="G14" s="801"/>
      <c r="H14" s="801"/>
      <c r="I14" s="801" t="s">
        <v>17</v>
      </c>
      <c r="J14" s="14"/>
      <c r="K14" s="801"/>
      <c r="L14" s="801"/>
      <c r="M14" s="789"/>
      <c r="N14" s="801"/>
      <c r="O14" s="801"/>
      <c r="P14" s="801"/>
      <c r="Q14" s="809"/>
      <c r="R14" s="809"/>
      <c r="S14" s="799"/>
      <c r="T14" s="809"/>
      <c r="U14" s="792"/>
    </row>
    <row r="15" spans="1:21" s="13" customFormat="1" ht="19.5" customHeight="1">
      <c r="A15" s="787"/>
      <c r="B15" s="11" t="s">
        <v>18</v>
      </c>
      <c r="C15" s="11" t="s">
        <v>19</v>
      </c>
      <c r="D15" s="15" t="s">
        <v>20</v>
      </c>
      <c r="E15" s="11" t="s">
        <v>21</v>
      </c>
      <c r="F15" s="795"/>
      <c r="G15" s="801"/>
      <c r="H15" s="801"/>
      <c r="I15" s="801"/>
      <c r="J15" s="16"/>
      <c r="K15" s="801"/>
      <c r="L15" s="801"/>
      <c r="M15" s="789"/>
      <c r="N15" s="801"/>
      <c r="O15" s="801"/>
      <c r="P15" s="801"/>
      <c r="Q15" s="809"/>
      <c r="R15" s="809"/>
      <c r="S15" s="800"/>
      <c r="T15" s="809"/>
      <c r="U15" s="793"/>
    </row>
    <row r="16" spans="1:21" s="13" customFormat="1" ht="12.75">
      <c r="A16" s="17">
        <v>1</v>
      </c>
      <c r="B16" s="18">
        <v>2</v>
      </c>
      <c r="C16" s="18">
        <v>3</v>
      </c>
      <c r="D16" s="18">
        <v>4</v>
      </c>
      <c r="E16" s="18">
        <v>5</v>
      </c>
      <c r="F16" s="18">
        <v>6</v>
      </c>
      <c r="G16" s="18">
        <v>6</v>
      </c>
      <c r="H16" s="18">
        <v>8</v>
      </c>
      <c r="I16" s="18">
        <v>9</v>
      </c>
      <c r="J16" s="19"/>
      <c r="K16" s="18">
        <v>7</v>
      </c>
      <c r="L16" s="18">
        <v>8</v>
      </c>
      <c r="M16" s="18">
        <v>6</v>
      </c>
      <c r="N16" s="18">
        <v>7</v>
      </c>
      <c r="O16" s="18">
        <v>8</v>
      </c>
      <c r="P16" s="18">
        <v>6</v>
      </c>
      <c r="Q16" s="18">
        <v>7</v>
      </c>
      <c r="R16" s="18">
        <v>8</v>
      </c>
      <c r="S16" s="498">
        <v>7</v>
      </c>
      <c r="T16" s="18">
        <v>8</v>
      </c>
      <c r="U16" s="515">
        <v>9</v>
      </c>
    </row>
    <row r="17" spans="1:25" ht="17.25" customHeight="1">
      <c r="A17" s="20" t="s">
        <v>22</v>
      </c>
      <c r="B17" s="21" t="s">
        <v>23</v>
      </c>
      <c r="C17" s="22" t="s">
        <v>24</v>
      </c>
      <c r="D17" s="23"/>
      <c r="E17" s="23"/>
      <c r="F17" s="24" t="e">
        <f>F18+#REF!</f>
        <v>#REF!</v>
      </c>
      <c r="G17" s="25" t="e">
        <f>G18+#REF!</f>
        <v>#REF!</v>
      </c>
      <c r="H17" s="26" t="e">
        <f>IF(F17&gt;0,G17/F17*100,"")</f>
        <v>#REF!</v>
      </c>
      <c r="I17" s="27" t="e">
        <f>F17/F87</f>
        <v>#REF!</v>
      </c>
      <c r="J17" s="28"/>
      <c r="K17" s="28" t="e">
        <f>K18+#REF!</f>
        <v>#REF!</v>
      </c>
      <c r="L17" s="28" t="e">
        <f>L18+#REF!</f>
        <v>#REF!</v>
      </c>
      <c r="M17" s="21" t="e">
        <f>M18+#REF!+#REF!</f>
        <v>#REF!</v>
      </c>
      <c r="N17" s="21" t="e">
        <f>N18+#REF!+#REF!</f>
        <v>#REF!</v>
      </c>
      <c r="O17" s="21" t="e">
        <f>O18+#REF!+#REF!</f>
        <v>#REF!</v>
      </c>
      <c r="P17" s="21" t="e">
        <f>P18+#REF!+#REF!</f>
        <v>#REF!</v>
      </c>
      <c r="Q17" s="21" t="e">
        <f>Q18+#REF!+#REF!</f>
        <v>#REF!</v>
      </c>
      <c r="R17" s="21" t="e">
        <f>R18+#REF!+#REF!</f>
        <v>#REF!</v>
      </c>
      <c r="S17" s="499">
        <f>S18+S22+S24</f>
        <v>108193</v>
      </c>
      <c r="T17" s="21">
        <f>T18+T22+T24</f>
        <v>108193</v>
      </c>
      <c r="U17" s="516">
        <f>T17/S17</f>
        <v>1</v>
      </c>
      <c r="V17" s="29"/>
      <c r="W17" s="29"/>
      <c r="X17" s="29"/>
      <c r="Y17" s="29"/>
    </row>
    <row r="18" spans="1:21" ht="27" customHeight="1">
      <c r="A18" s="334" t="s">
        <v>25</v>
      </c>
      <c r="B18" s="349" t="s">
        <v>26</v>
      </c>
      <c r="C18" s="344"/>
      <c r="D18" s="343" t="s">
        <v>27</v>
      </c>
      <c r="E18" s="348"/>
      <c r="F18" s="345">
        <v>0</v>
      </c>
      <c r="G18" s="338">
        <v>37400</v>
      </c>
      <c r="H18" s="346">
        <f>IF(F18&gt;0,G18/F18*100,"")</f>
      </c>
      <c r="I18" s="347">
        <f>F18/F87</f>
        <v>0</v>
      </c>
      <c r="J18" s="348"/>
      <c r="K18" s="348">
        <v>0</v>
      </c>
      <c r="L18" s="348">
        <v>0</v>
      </c>
      <c r="M18" s="348">
        <v>44000</v>
      </c>
      <c r="N18" s="348">
        <v>0</v>
      </c>
      <c r="O18" s="348">
        <v>0</v>
      </c>
      <c r="P18" s="348">
        <v>45000</v>
      </c>
      <c r="Q18" s="348">
        <v>0</v>
      </c>
      <c r="R18" s="348">
        <v>0</v>
      </c>
      <c r="S18" s="500">
        <f>S21</f>
        <v>40000</v>
      </c>
      <c r="T18" s="332">
        <f>T21</f>
        <v>40000</v>
      </c>
      <c r="U18" s="517">
        <f aca="true" t="shared" si="0" ref="U18:U85">T18/S18</f>
        <v>1</v>
      </c>
    </row>
    <row r="19" spans="1:21" ht="18" customHeight="1" hidden="1">
      <c r="A19" s="39" t="s">
        <v>25</v>
      </c>
      <c r="B19" s="40" t="s">
        <v>28</v>
      </c>
      <c r="C19" s="41"/>
      <c r="D19" s="41" t="s">
        <v>29</v>
      </c>
      <c r="E19" s="41"/>
      <c r="F19" s="42">
        <f>F20</f>
        <v>990</v>
      </c>
      <c r="G19" s="43">
        <f>G20</f>
        <v>550</v>
      </c>
      <c r="H19" s="44">
        <f>IF(F19&gt;0,G19/F19*100,"")</f>
        <v>55.55555555555556</v>
      </c>
      <c r="I19" s="45" t="e">
        <f>F19/F216</f>
        <v>#REF!</v>
      </c>
      <c r="J19" s="40"/>
      <c r="K19" s="40">
        <f aca="true" t="shared" si="1" ref="K19:S19">K20</f>
        <v>0</v>
      </c>
      <c r="L19" s="40">
        <f t="shared" si="1"/>
        <v>0</v>
      </c>
      <c r="M19" s="40">
        <f t="shared" si="1"/>
        <v>220</v>
      </c>
      <c r="N19" s="40">
        <f t="shared" si="1"/>
        <v>0</v>
      </c>
      <c r="O19" s="40">
        <f t="shared" si="1"/>
        <v>0</v>
      </c>
      <c r="P19" s="46">
        <f t="shared" si="1"/>
        <v>100</v>
      </c>
      <c r="Q19" s="46">
        <f t="shared" si="1"/>
        <v>0</v>
      </c>
      <c r="R19" s="46">
        <f t="shared" si="1"/>
        <v>0</v>
      </c>
      <c r="S19" s="501">
        <f t="shared" si="1"/>
        <v>0</v>
      </c>
      <c r="T19" s="320">
        <f>T20+T24+T26</f>
        <v>314696</v>
      </c>
      <c r="U19" s="518" t="e">
        <f t="shared" si="0"/>
        <v>#DIV/0!</v>
      </c>
    </row>
    <row r="20" spans="1:21" ht="15" customHeight="1" hidden="1">
      <c r="A20" s="30"/>
      <c r="B20" s="47" t="s">
        <v>30</v>
      </c>
      <c r="C20" s="32"/>
      <c r="D20" s="32"/>
      <c r="E20" s="32" t="s">
        <v>31</v>
      </c>
      <c r="F20" s="34">
        <v>990</v>
      </c>
      <c r="G20" s="35">
        <v>550</v>
      </c>
      <c r="H20" s="36">
        <f>IF(F20&gt;0,G20/F20*100,"")</f>
        <v>55.55555555555556</v>
      </c>
      <c r="I20" s="37" t="e">
        <f>F20/F216</f>
        <v>#REF!</v>
      </c>
      <c r="J20" s="33"/>
      <c r="K20" s="33">
        <v>0</v>
      </c>
      <c r="L20" s="33">
        <v>0</v>
      </c>
      <c r="M20" s="33">
        <v>220</v>
      </c>
      <c r="N20" s="33">
        <v>0</v>
      </c>
      <c r="O20" s="33">
        <v>0</v>
      </c>
      <c r="P20" s="33">
        <v>100</v>
      </c>
      <c r="Q20" s="33">
        <v>0</v>
      </c>
      <c r="R20" s="33">
        <v>0</v>
      </c>
      <c r="S20" s="502">
        <v>0</v>
      </c>
      <c r="T20" s="320">
        <f>T21+T25+T27</f>
        <v>177348</v>
      </c>
      <c r="U20" s="518" t="e">
        <f t="shared" si="0"/>
        <v>#DIV/0!</v>
      </c>
    </row>
    <row r="21" spans="1:21" ht="23.25" customHeight="1">
      <c r="A21" s="30"/>
      <c r="B21" s="74" t="s">
        <v>70</v>
      </c>
      <c r="C21" s="32"/>
      <c r="D21" s="32"/>
      <c r="E21" s="31">
        <v>2110</v>
      </c>
      <c r="F21" s="34"/>
      <c r="G21" s="35"/>
      <c r="H21" s="36"/>
      <c r="I21" s="37"/>
      <c r="J21" s="33"/>
      <c r="K21" s="33"/>
      <c r="L21" s="33"/>
      <c r="M21" s="33"/>
      <c r="N21" s="33"/>
      <c r="O21" s="33"/>
      <c r="P21" s="33"/>
      <c r="Q21" s="33"/>
      <c r="R21" s="33"/>
      <c r="S21" s="502">
        <v>40000</v>
      </c>
      <c r="T21" s="77">
        <v>40000</v>
      </c>
      <c r="U21" s="518">
        <f t="shared" si="0"/>
        <v>1</v>
      </c>
    </row>
    <row r="22" spans="1:21" ht="15" customHeight="1">
      <c r="A22" s="334" t="s">
        <v>620</v>
      </c>
      <c r="B22" s="342" t="s">
        <v>621</v>
      </c>
      <c r="C22" s="343"/>
      <c r="D22" s="343" t="s">
        <v>622</v>
      </c>
      <c r="E22" s="344"/>
      <c r="F22" s="345"/>
      <c r="G22" s="338"/>
      <c r="H22" s="346"/>
      <c r="I22" s="347"/>
      <c r="J22" s="348"/>
      <c r="K22" s="348"/>
      <c r="L22" s="348"/>
      <c r="M22" s="348"/>
      <c r="N22" s="348"/>
      <c r="O22" s="348"/>
      <c r="P22" s="348"/>
      <c r="Q22" s="348"/>
      <c r="R22" s="348"/>
      <c r="S22" s="500">
        <f>S23</f>
        <v>67893</v>
      </c>
      <c r="T22" s="332">
        <f>T23</f>
        <v>67893</v>
      </c>
      <c r="U22" s="517">
        <f t="shared" si="0"/>
        <v>1</v>
      </c>
    </row>
    <row r="23" spans="1:23" ht="38.25" customHeight="1">
      <c r="A23" s="30"/>
      <c r="B23" s="74" t="s">
        <v>623</v>
      </c>
      <c r="C23" s="32"/>
      <c r="D23" s="32"/>
      <c r="E23" s="31">
        <v>6260</v>
      </c>
      <c r="F23" s="34"/>
      <c r="G23" s="35"/>
      <c r="H23" s="36"/>
      <c r="I23" s="37"/>
      <c r="J23" s="33"/>
      <c r="K23" s="33"/>
      <c r="L23" s="33"/>
      <c r="M23" s="33"/>
      <c r="N23" s="33"/>
      <c r="O23" s="33"/>
      <c r="P23" s="33"/>
      <c r="Q23" s="33"/>
      <c r="R23" s="33"/>
      <c r="S23" s="502">
        <v>67893</v>
      </c>
      <c r="T23" s="77">
        <v>67893</v>
      </c>
      <c r="U23" s="518">
        <f t="shared" si="0"/>
        <v>1</v>
      </c>
      <c r="V23" s="93"/>
      <c r="W23" s="93"/>
    </row>
    <row r="24" spans="1:23" s="54" customFormat="1" ht="17.25" customHeight="1">
      <c r="A24" s="334" t="s">
        <v>75</v>
      </c>
      <c r="B24" s="342" t="s">
        <v>33</v>
      </c>
      <c r="C24" s="336"/>
      <c r="D24" s="336" t="s">
        <v>34</v>
      </c>
      <c r="E24" s="336"/>
      <c r="F24" s="337">
        <f>F25</f>
        <v>400</v>
      </c>
      <c r="G24" s="338">
        <f>G25</f>
        <v>400</v>
      </c>
      <c r="H24" s="339">
        <f>IF(F24&gt;0,G24/F24*100,"")</f>
        <v>100</v>
      </c>
      <c r="I24" s="340" t="e">
        <f>F24/F216</f>
        <v>#REF!</v>
      </c>
      <c r="J24" s="335"/>
      <c r="K24" s="335">
        <f aca="true" t="shared" si="2" ref="K24:S24">K25</f>
        <v>0</v>
      </c>
      <c r="L24" s="335">
        <f t="shared" si="2"/>
        <v>0</v>
      </c>
      <c r="M24" s="335">
        <f t="shared" si="2"/>
        <v>300</v>
      </c>
      <c r="N24" s="335">
        <f t="shared" si="2"/>
        <v>0</v>
      </c>
      <c r="O24" s="335">
        <f t="shared" si="2"/>
        <v>0</v>
      </c>
      <c r="P24" s="341">
        <f t="shared" si="2"/>
        <v>600</v>
      </c>
      <c r="Q24" s="341">
        <f t="shared" si="2"/>
        <v>0</v>
      </c>
      <c r="R24" s="341">
        <f t="shared" si="2"/>
        <v>0</v>
      </c>
      <c r="S24" s="503">
        <f t="shared" si="2"/>
        <v>300</v>
      </c>
      <c r="T24" s="332">
        <f>T25</f>
        <v>300</v>
      </c>
      <c r="U24" s="517">
        <f t="shared" si="0"/>
        <v>1</v>
      </c>
      <c r="V24" s="89"/>
      <c r="W24" s="89"/>
    </row>
    <row r="25" spans="1:23" ht="16.5" customHeight="1">
      <c r="A25" s="55"/>
      <c r="B25" s="131" t="s">
        <v>35</v>
      </c>
      <c r="C25" s="32"/>
      <c r="D25" s="32"/>
      <c r="E25" s="32" t="s">
        <v>36</v>
      </c>
      <c r="F25" s="34">
        <v>400</v>
      </c>
      <c r="G25" s="56">
        <v>400</v>
      </c>
      <c r="H25" s="36">
        <f>IF(F25&gt;0,G25/F25*100,"")</f>
        <v>100</v>
      </c>
      <c r="I25" s="37" t="e">
        <f>F25/F216</f>
        <v>#REF!</v>
      </c>
      <c r="J25" s="33"/>
      <c r="K25" s="33">
        <v>0</v>
      </c>
      <c r="L25" s="33">
        <v>0</v>
      </c>
      <c r="M25" s="33">
        <v>300</v>
      </c>
      <c r="N25" s="33">
        <v>0</v>
      </c>
      <c r="O25" s="33">
        <v>0</v>
      </c>
      <c r="P25" s="33">
        <v>600</v>
      </c>
      <c r="Q25" s="33">
        <v>0</v>
      </c>
      <c r="R25" s="33">
        <v>0</v>
      </c>
      <c r="S25" s="502">
        <v>300</v>
      </c>
      <c r="T25" s="77">
        <v>300</v>
      </c>
      <c r="U25" s="518">
        <f t="shared" si="0"/>
        <v>1</v>
      </c>
      <c r="V25" s="93"/>
      <c r="W25" s="93"/>
    </row>
    <row r="26" spans="1:23" s="60" customFormat="1" ht="15.75" customHeight="1">
      <c r="A26" s="20" t="s">
        <v>37</v>
      </c>
      <c r="B26" s="57" t="s">
        <v>38</v>
      </c>
      <c r="C26" s="22" t="s">
        <v>39</v>
      </c>
      <c r="D26" s="22"/>
      <c r="E26" s="22"/>
      <c r="F26" s="21"/>
      <c r="G26" s="21"/>
      <c r="H26" s="58"/>
      <c r="I26" s="58"/>
      <c r="J26" s="21"/>
      <c r="K26" s="21"/>
      <c r="L26" s="21"/>
      <c r="M26" s="21"/>
      <c r="N26" s="21"/>
      <c r="O26" s="21"/>
      <c r="P26" s="59"/>
      <c r="Q26" s="59"/>
      <c r="R26" s="59"/>
      <c r="S26" s="504">
        <f>S27</f>
        <v>137048</v>
      </c>
      <c r="T26" s="59">
        <f>T27</f>
        <v>137048</v>
      </c>
      <c r="U26" s="516">
        <f t="shared" si="0"/>
        <v>1</v>
      </c>
      <c r="V26" s="93"/>
      <c r="W26" s="93"/>
    </row>
    <row r="27" spans="1:21" s="62" customFormat="1" ht="15.75" customHeight="1">
      <c r="A27" s="334" t="s">
        <v>25</v>
      </c>
      <c r="B27" s="342" t="s">
        <v>40</v>
      </c>
      <c r="C27" s="336"/>
      <c r="D27" s="336" t="s">
        <v>41</v>
      </c>
      <c r="E27" s="336"/>
      <c r="F27" s="335"/>
      <c r="G27" s="335"/>
      <c r="H27" s="339"/>
      <c r="I27" s="339"/>
      <c r="J27" s="335"/>
      <c r="K27" s="335"/>
      <c r="L27" s="335"/>
      <c r="M27" s="335"/>
      <c r="N27" s="335"/>
      <c r="O27" s="335"/>
      <c r="P27" s="341"/>
      <c r="Q27" s="341"/>
      <c r="R27" s="341"/>
      <c r="S27" s="503">
        <f>S28</f>
        <v>137048</v>
      </c>
      <c r="T27" s="341">
        <f>T28</f>
        <v>137048</v>
      </c>
      <c r="U27" s="517">
        <f t="shared" si="0"/>
        <v>1</v>
      </c>
    </row>
    <row r="28" spans="1:21" s="60" customFormat="1" ht="24" customHeight="1">
      <c r="A28" s="63"/>
      <c r="B28" s="64" t="s">
        <v>42</v>
      </c>
      <c r="C28" s="65"/>
      <c r="D28" s="65"/>
      <c r="E28" s="61" t="s">
        <v>43</v>
      </c>
      <c r="F28" s="66"/>
      <c r="G28" s="66"/>
      <c r="H28" s="67"/>
      <c r="I28" s="67"/>
      <c r="J28" s="66"/>
      <c r="K28" s="66"/>
      <c r="L28" s="66"/>
      <c r="M28" s="66"/>
      <c r="N28" s="66"/>
      <c r="O28" s="66"/>
      <c r="P28" s="68"/>
      <c r="Q28" s="68"/>
      <c r="R28" s="68"/>
      <c r="S28" s="505">
        <v>137048</v>
      </c>
      <c r="T28" s="77">
        <v>137048</v>
      </c>
      <c r="U28" s="518">
        <f t="shared" si="0"/>
        <v>1</v>
      </c>
    </row>
    <row r="29" spans="1:21" ht="18" customHeight="1">
      <c r="A29" s="20" t="s">
        <v>44</v>
      </c>
      <c r="B29" s="21" t="s">
        <v>45</v>
      </c>
      <c r="C29" s="22" t="s">
        <v>46</v>
      </c>
      <c r="D29" s="22"/>
      <c r="E29" s="22"/>
      <c r="F29" s="69" t="e">
        <f>F30</f>
        <v>#REF!</v>
      </c>
      <c r="G29" s="70" t="e">
        <f>G30</f>
        <v>#REF!</v>
      </c>
      <c r="H29" s="58" t="e">
        <f>IF(F29&gt;0,G29/F29*100,"")</f>
        <v>#REF!</v>
      </c>
      <c r="I29" s="71" t="e">
        <f>F29/F216</f>
        <v>#REF!</v>
      </c>
      <c r="J29" s="21"/>
      <c r="K29" s="21" t="e">
        <f aca="true" t="shared" si="3" ref="K29:T29">K30</f>
        <v>#REF!</v>
      </c>
      <c r="L29" s="21" t="e">
        <f t="shared" si="3"/>
        <v>#REF!</v>
      </c>
      <c r="M29" s="21" t="e">
        <f t="shared" si="3"/>
        <v>#REF!</v>
      </c>
      <c r="N29" s="21" t="e">
        <f t="shared" si="3"/>
        <v>#REF!</v>
      </c>
      <c r="O29" s="21" t="e">
        <f t="shared" si="3"/>
        <v>#REF!</v>
      </c>
      <c r="P29" s="59" t="e">
        <f t="shared" si="3"/>
        <v>#REF!</v>
      </c>
      <c r="Q29" s="59" t="e">
        <f t="shared" si="3"/>
        <v>#REF!</v>
      </c>
      <c r="R29" s="59" t="e">
        <f t="shared" si="3"/>
        <v>#REF!</v>
      </c>
      <c r="S29" s="504">
        <f t="shared" si="3"/>
        <v>3617996</v>
      </c>
      <c r="T29" s="59">
        <f t="shared" si="3"/>
        <v>3617997</v>
      </c>
      <c r="U29" s="516">
        <f t="shared" si="0"/>
        <v>1.0000002763961044</v>
      </c>
    </row>
    <row r="30" spans="1:21" s="54" customFormat="1" ht="18.75" customHeight="1">
      <c r="A30" s="334" t="s">
        <v>25</v>
      </c>
      <c r="B30" s="335" t="s">
        <v>47</v>
      </c>
      <c r="C30" s="336"/>
      <c r="D30" s="336" t="s">
        <v>48</v>
      </c>
      <c r="E30" s="336"/>
      <c r="F30" s="337" t="e">
        <f>F33+F37+#REF!</f>
        <v>#REF!</v>
      </c>
      <c r="G30" s="338" t="e">
        <f>G33+G37+#REF!+#REF!</f>
        <v>#REF!</v>
      </c>
      <c r="H30" s="339" t="e">
        <f>IF(F30&gt;0,G30/F30*100,"")</f>
        <v>#REF!</v>
      </c>
      <c r="I30" s="340" t="e">
        <f>F30/F216</f>
        <v>#REF!</v>
      </c>
      <c r="J30" s="335"/>
      <c r="K30" s="335" t="e">
        <f>K33+K37+#REF!+#REF!</f>
        <v>#REF!</v>
      </c>
      <c r="L30" s="335" t="e">
        <f>L33+L37+#REF!+#REF!</f>
        <v>#REF!</v>
      </c>
      <c r="M30" s="335" t="e">
        <f>M33+M37+#REF!+#REF!</f>
        <v>#REF!</v>
      </c>
      <c r="N30" s="335" t="e">
        <f>N33+N37+#REF!+#REF!</f>
        <v>#REF!</v>
      </c>
      <c r="O30" s="335" t="e">
        <f>O33+O37+#REF!+#REF!</f>
        <v>#REF!</v>
      </c>
      <c r="P30" s="341" t="e">
        <f>P33+P37+#REF!+#REF!+P32</f>
        <v>#REF!</v>
      </c>
      <c r="Q30" s="341" t="e">
        <f>Q33+Q37+#REF!+#REF!+Q32</f>
        <v>#REF!</v>
      </c>
      <c r="R30" s="341" t="e">
        <f>R33+R37+#REF!+#REF!+R32</f>
        <v>#REF!</v>
      </c>
      <c r="S30" s="503">
        <f>S31+S32+S33+S34+S35+S36+S37+S38+S39+S40+S41+S42+S43</f>
        <v>3617996</v>
      </c>
      <c r="T30" s="341">
        <f>T31+T32+T33+T34+T35+T36+T37+T38+T39+T40+T41+T42+T43</f>
        <v>3617997</v>
      </c>
      <c r="U30" s="517">
        <f t="shared" si="0"/>
        <v>1.0000002763961044</v>
      </c>
    </row>
    <row r="31" spans="1:21" ht="24.75" customHeight="1">
      <c r="A31" s="55"/>
      <c r="B31" s="74" t="s">
        <v>49</v>
      </c>
      <c r="C31" s="41"/>
      <c r="D31" s="41"/>
      <c r="E31" s="48" t="s">
        <v>50</v>
      </c>
      <c r="F31" s="42"/>
      <c r="G31" s="43"/>
      <c r="H31" s="44"/>
      <c r="I31" s="45"/>
      <c r="J31" s="40"/>
      <c r="K31" s="40"/>
      <c r="L31" s="40"/>
      <c r="M31" s="40"/>
      <c r="N31" s="40"/>
      <c r="O31" s="40"/>
      <c r="P31" s="46"/>
      <c r="Q31" s="46"/>
      <c r="R31" s="46"/>
      <c r="S31" s="506">
        <v>1050</v>
      </c>
      <c r="T31" s="77">
        <v>1050</v>
      </c>
      <c r="U31" s="518">
        <f t="shared" si="0"/>
        <v>1</v>
      </c>
    </row>
    <row r="32" spans="1:21" ht="16.5" customHeight="1">
      <c r="A32" s="55"/>
      <c r="B32" s="131" t="s">
        <v>35</v>
      </c>
      <c r="C32" s="41"/>
      <c r="D32" s="41"/>
      <c r="E32" s="48" t="s">
        <v>36</v>
      </c>
      <c r="F32" s="49"/>
      <c r="G32" s="35"/>
      <c r="H32" s="50"/>
      <c r="I32" s="51"/>
      <c r="J32" s="52"/>
      <c r="K32" s="52"/>
      <c r="L32" s="52"/>
      <c r="M32" s="52"/>
      <c r="N32" s="52"/>
      <c r="O32" s="52"/>
      <c r="P32" s="53">
        <v>200</v>
      </c>
      <c r="Q32" s="53">
        <v>0</v>
      </c>
      <c r="R32" s="53">
        <v>0</v>
      </c>
      <c r="S32" s="502">
        <v>271</v>
      </c>
      <c r="T32" s="77">
        <v>271</v>
      </c>
      <c r="U32" s="518">
        <f t="shared" si="0"/>
        <v>1</v>
      </c>
    </row>
    <row r="33" spans="1:21" ht="24" customHeight="1">
      <c r="A33" s="55"/>
      <c r="B33" s="74" t="s">
        <v>51</v>
      </c>
      <c r="C33" s="32"/>
      <c r="D33" s="32"/>
      <c r="E33" s="32" t="s">
        <v>52</v>
      </c>
      <c r="F33" s="34">
        <v>17000</v>
      </c>
      <c r="G33" s="56">
        <v>18200</v>
      </c>
      <c r="H33" s="36">
        <f>IF(F33&gt;0,G33/F33*100,"")</f>
        <v>107.05882352941177</v>
      </c>
      <c r="I33" s="37" t="e">
        <f>F33/F216</f>
        <v>#REF!</v>
      </c>
      <c r="J33" s="33"/>
      <c r="K33" s="33">
        <v>0</v>
      </c>
      <c r="L33" s="33">
        <v>0</v>
      </c>
      <c r="M33" s="33">
        <v>1747</v>
      </c>
      <c r="N33" s="33">
        <v>0</v>
      </c>
      <c r="O33" s="33">
        <v>0</v>
      </c>
      <c r="P33" s="33">
        <v>2617</v>
      </c>
      <c r="Q33" s="33">
        <v>0</v>
      </c>
      <c r="R33" s="33">
        <v>0</v>
      </c>
      <c r="S33" s="502">
        <v>2772</v>
      </c>
      <c r="T33" s="77">
        <v>2772</v>
      </c>
      <c r="U33" s="518">
        <f t="shared" si="0"/>
        <v>1</v>
      </c>
    </row>
    <row r="34" spans="1:21" ht="16.5" customHeight="1">
      <c r="A34" s="55"/>
      <c r="B34" s="74" t="s">
        <v>53</v>
      </c>
      <c r="C34" s="32"/>
      <c r="D34" s="32"/>
      <c r="E34" s="32" t="s">
        <v>54</v>
      </c>
      <c r="F34" s="34"/>
      <c r="G34" s="56"/>
      <c r="H34" s="36"/>
      <c r="I34" s="37"/>
      <c r="J34" s="33"/>
      <c r="K34" s="33"/>
      <c r="L34" s="33"/>
      <c r="M34" s="33"/>
      <c r="N34" s="33"/>
      <c r="O34" s="33"/>
      <c r="P34" s="33"/>
      <c r="Q34" s="33"/>
      <c r="R34" s="33"/>
      <c r="S34" s="502">
        <v>10953</v>
      </c>
      <c r="T34" s="77">
        <v>10953</v>
      </c>
      <c r="U34" s="518">
        <f t="shared" si="0"/>
        <v>1</v>
      </c>
    </row>
    <row r="35" spans="1:21" ht="17.25" customHeight="1">
      <c r="A35" s="55"/>
      <c r="B35" s="74" t="s">
        <v>30</v>
      </c>
      <c r="C35" s="32"/>
      <c r="D35" s="32"/>
      <c r="E35" s="32" t="s">
        <v>31</v>
      </c>
      <c r="F35" s="34"/>
      <c r="G35" s="56"/>
      <c r="H35" s="36"/>
      <c r="I35" s="37"/>
      <c r="J35" s="33"/>
      <c r="K35" s="33"/>
      <c r="L35" s="33"/>
      <c r="M35" s="33"/>
      <c r="N35" s="33"/>
      <c r="O35" s="33"/>
      <c r="P35" s="33"/>
      <c r="Q35" s="33"/>
      <c r="R35" s="33"/>
      <c r="S35" s="502">
        <v>157</v>
      </c>
      <c r="T35" s="77">
        <v>156</v>
      </c>
      <c r="U35" s="518">
        <f t="shared" si="0"/>
        <v>0.9936305732484076</v>
      </c>
    </row>
    <row r="36" spans="1:21" ht="17.25" customHeight="1">
      <c r="A36" s="55"/>
      <c r="B36" s="74" t="s">
        <v>30</v>
      </c>
      <c r="C36" s="32"/>
      <c r="D36" s="32"/>
      <c r="E36" s="32" t="s">
        <v>625</v>
      </c>
      <c r="F36" s="34"/>
      <c r="G36" s="56"/>
      <c r="H36" s="36"/>
      <c r="I36" s="37"/>
      <c r="J36" s="33"/>
      <c r="K36" s="33"/>
      <c r="L36" s="33"/>
      <c r="M36" s="33"/>
      <c r="N36" s="33"/>
      <c r="O36" s="33"/>
      <c r="P36" s="33"/>
      <c r="Q36" s="33"/>
      <c r="R36" s="33"/>
      <c r="S36" s="502">
        <v>0</v>
      </c>
      <c r="T36" s="77">
        <v>2</v>
      </c>
      <c r="U36" s="518">
        <v>0</v>
      </c>
    </row>
    <row r="37" spans="1:21" ht="18.75" customHeight="1">
      <c r="A37" s="55"/>
      <c r="B37" s="131" t="s">
        <v>55</v>
      </c>
      <c r="C37" s="32"/>
      <c r="D37" s="32"/>
      <c r="E37" s="32" t="s">
        <v>56</v>
      </c>
      <c r="F37" s="34">
        <v>18000</v>
      </c>
      <c r="G37" s="56">
        <v>9400</v>
      </c>
      <c r="H37" s="36">
        <f>IF(F37&gt;0,G37/F37*100,"")</f>
        <v>52.22222222222223</v>
      </c>
      <c r="I37" s="37" t="e">
        <f>F37/F216</f>
        <v>#REF!</v>
      </c>
      <c r="J37" s="33"/>
      <c r="K37" s="33">
        <v>0</v>
      </c>
      <c r="L37" s="33">
        <v>0</v>
      </c>
      <c r="M37" s="33">
        <v>7749</v>
      </c>
      <c r="N37" s="33">
        <v>0</v>
      </c>
      <c r="O37" s="33">
        <v>0</v>
      </c>
      <c r="P37" s="33">
        <v>1700</v>
      </c>
      <c r="Q37" s="33">
        <v>0</v>
      </c>
      <c r="R37" s="33">
        <v>0</v>
      </c>
      <c r="S37" s="502">
        <v>1154</v>
      </c>
      <c r="T37" s="77">
        <v>1154</v>
      </c>
      <c r="U37" s="518">
        <f t="shared" si="0"/>
        <v>1</v>
      </c>
    </row>
    <row r="38" spans="1:21" ht="34.5" customHeight="1">
      <c r="A38" s="55"/>
      <c r="B38" s="74" t="s">
        <v>624</v>
      </c>
      <c r="C38" s="32"/>
      <c r="D38" s="32"/>
      <c r="E38" s="32" t="s">
        <v>230</v>
      </c>
      <c r="F38" s="34"/>
      <c r="G38" s="56"/>
      <c r="H38" s="36"/>
      <c r="I38" s="37"/>
      <c r="J38" s="33"/>
      <c r="K38" s="33"/>
      <c r="L38" s="33"/>
      <c r="M38" s="33"/>
      <c r="N38" s="33"/>
      <c r="O38" s="33"/>
      <c r="P38" s="33"/>
      <c r="Q38" s="33"/>
      <c r="R38" s="33"/>
      <c r="S38" s="502">
        <v>5225</v>
      </c>
      <c r="T38" s="77">
        <v>5225</v>
      </c>
      <c r="U38" s="518">
        <f t="shared" si="0"/>
        <v>1</v>
      </c>
    </row>
    <row r="39" spans="1:21" ht="22.5" customHeight="1">
      <c r="A39" s="55"/>
      <c r="B39" s="74" t="s">
        <v>628</v>
      </c>
      <c r="C39" s="32"/>
      <c r="D39" s="32"/>
      <c r="E39" s="32" t="s">
        <v>627</v>
      </c>
      <c r="F39" s="34"/>
      <c r="G39" s="56"/>
      <c r="H39" s="36"/>
      <c r="I39" s="37"/>
      <c r="J39" s="33"/>
      <c r="K39" s="33"/>
      <c r="L39" s="33"/>
      <c r="M39" s="33"/>
      <c r="N39" s="33"/>
      <c r="O39" s="33"/>
      <c r="P39" s="33"/>
      <c r="Q39" s="33"/>
      <c r="R39" s="33"/>
      <c r="S39" s="502">
        <v>14319</v>
      </c>
      <c r="T39" s="77">
        <v>14319</v>
      </c>
      <c r="U39" s="518">
        <f t="shared" si="0"/>
        <v>1</v>
      </c>
    </row>
    <row r="40" spans="1:21" ht="24.75" customHeight="1">
      <c r="A40" s="30"/>
      <c r="B40" s="74" t="s">
        <v>58</v>
      </c>
      <c r="C40" s="48"/>
      <c r="D40" s="48"/>
      <c r="E40" s="48" t="s">
        <v>626</v>
      </c>
      <c r="F40" s="52"/>
      <c r="G40" s="52"/>
      <c r="H40" s="50"/>
      <c r="I40" s="50"/>
      <c r="J40" s="52"/>
      <c r="K40" s="52"/>
      <c r="L40" s="52"/>
      <c r="M40" s="52"/>
      <c r="N40" s="52"/>
      <c r="O40" s="52"/>
      <c r="P40" s="53"/>
      <c r="Q40" s="53"/>
      <c r="R40" s="53"/>
      <c r="S40" s="506">
        <v>703055</v>
      </c>
      <c r="T40" s="77">
        <v>703055</v>
      </c>
      <c r="U40" s="518">
        <f t="shared" si="0"/>
        <v>1</v>
      </c>
    </row>
    <row r="41" spans="1:21" ht="24" customHeight="1">
      <c r="A41" s="30"/>
      <c r="B41" s="74" t="s">
        <v>59</v>
      </c>
      <c r="C41" s="48"/>
      <c r="D41" s="48"/>
      <c r="E41" s="48" t="s">
        <v>379</v>
      </c>
      <c r="F41" s="52"/>
      <c r="G41" s="52"/>
      <c r="H41" s="50"/>
      <c r="I41" s="50"/>
      <c r="J41" s="52"/>
      <c r="K41" s="52"/>
      <c r="L41" s="52"/>
      <c r="M41" s="52"/>
      <c r="N41" s="52"/>
      <c r="O41" s="52"/>
      <c r="P41" s="53"/>
      <c r="Q41" s="53"/>
      <c r="R41" s="53"/>
      <c r="S41" s="506">
        <v>2649936</v>
      </c>
      <c r="T41" s="77">
        <v>2649936</v>
      </c>
      <c r="U41" s="518">
        <f t="shared" si="0"/>
        <v>1</v>
      </c>
    </row>
    <row r="42" spans="1:21" ht="25.5" customHeight="1">
      <c r="A42" s="39"/>
      <c r="B42" s="74" t="s">
        <v>61</v>
      </c>
      <c r="C42" s="31"/>
      <c r="D42" s="75"/>
      <c r="E42" s="76">
        <v>6610</v>
      </c>
      <c r="F42" s="42"/>
      <c r="G42" s="43"/>
      <c r="H42" s="44"/>
      <c r="I42" s="45"/>
      <c r="J42" s="40"/>
      <c r="K42" s="40"/>
      <c r="L42" s="40"/>
      <c r="M42" s="40"/>
      <c r="N42" s="40"/>
      <c r="O42" s="40"/>
      <c r="P42" s="33">
        <v>60000</v>
      </c>
      <c r="Q42" s="33">
        <v>0</v>
      </c>
      <c r="R42" s="33">
        <v>0</v>
      </c>
      <c r="S42" s="507">
        <v>149104</v>
      </c>
      <c r="T42" s="77">
        <v>149104</v>
      </c>
      <c r="U42" s="518">
        <f t="shared" si="0"/>
        <v>1</v>
      </c>
    </row>
    <row r="43" spans="1:21" ht="25.5" customHeight="1">
      <c r="A43" s="39"/>
      <c r="B43" s="74" t="s">
        <v>61</v>
      </c>
      <c r="C43" s="31"/>
      <c r="D43" s="75"/>
      <c r="E43" s="76">
        <v>6619</v>
      </c>
      <c r="F43" s="42"/>
      <c r="G43" s="43"/>
      <c r="H43" s="44"/>
      <c r="I43" s="45"/>
      <c r="J43" s="40"/>
      <c r="K43" s="40"/>
      <c r="L43" s="40"/>
      <c r="M43" s="40"/>
      <c r="N43" s="40"/>
      <c r="O43" s="40"/>
      <c r="P43" s="33"/>
      <c r="Q43" s="33"/>
      <c r="R43" s="33"/>
      <c r="S43" s="507">
        <v>80000</v>
      </c>
      <c r="T43" s="77">
        <v>80000</v>
      </c>
      <c r="U43" s="518">
        <f t="shared" si="0"/>
        <v>1</v>
      </c>
    </row>
    <row r="44" spans="1:21" ht="25.5">
      <c r="A44" s="20" t="s">
        <v>62</v>
      </c>
      <c r="B44" s="57" t="s">
        <v>63</v>
      </c>
      <c r="C44" s="22" t="s">
        <v>64</v>
      </c>
      <c r="D44" s="78"/>
      <c r="E44" s="78"/>
      <c r="F44" s="24">
        <f>F45</f>
        <v>576998</v>
      </c>
      <c r="G44" s="70">
        <f>G45</f>
        <v>906816</v>
      </c>
      <c r="H44" s="58">
        <f>IF(F44&gt;0,G44/F44*100,"")</f>
        <v>157.1610300209013</v>
      </c>
      <c r="I44" s="71" t="e">
        <f>F44/F216</f>
        <v>#REF!</v>
      </c>
      <c r="J44" s="21"/>
      <c r="K44" s="21">
        <f aca="true" t="shared" si="4" ref="K44:S44">K45</f>
        <v>0</v>
      </c>
      <c r="L44" s="21">
        <f t="shared" si="4"/>
        <v>200000</v>
      </c>
      <c r="M44" s="21" t="e">
        <f t="shared" si="4"/>
        <v>#REF!</v>
      </c>
      <c r="N44" s="21" t="e">
        <f t="shared" si="4"/>
        <v>#REF!</v>
      </c>
      <c r="O44" s="21" t="e">
        <f t="shared" si="4"/>
        <v>#REF!</v>
      </c>
      <c r="P44" s="59" t="e">
        <f t="shared" si="4"/>
        <v>#REF!</v>
      </c>
      <c r="Q44" s="59" t="e">
        <f t="shared" si="4"/>
        <v>#REF!</v>
      </c>
      <c r="R44" s="59" t="e">
        <f t="shared" si="4"/>
        <v>#REF!</v>
      </c>
      <c r="S44" s="504">
        <f t="shared" si="4"/>
        <v>1004321</v>
      </c>
      <c r="T44" s="21">
        <f>T45</f>
        <v>1011611</v>
      </c>
      <c r="U44" s="516">
        <f t="shared" si="0"/>
        <v>1.0072586354362798</v>
      </c>
    </row>
    <row r="45" spans="1:21" ht="26.25" customHeight="1">
      <c r="A45" s="325" t="s">
        <v>25</v>
      </c>
      <c r="B45" s="326" t="s">
        <v>65</v>
      </c>
      <c r="C45" s="327"/>
      <c r="D45" s="327" t="s">
        <v>66</v>
      </c>
      <c r="E45" s="327"/>
      <c r="F45" s="328">
        <f>F48+F50</f>
        <v>576998</v>
      </c>
      <c r="G45" s="329">
        <f>G48+G50+G49</f>
        <v>906816</v>
      </c>
      <c r="H45" s="330">
        <f>IF(F45&gt;0,G45/F45*100,"")</f>
        <v>157.1610300209013</v>
      </c>
      <c r="I45" s="331" t="e">
        <f>F45/F216</f>
        <v>#REF!</v>
      </c>
      <c r="J45" s="332"/>
      <c r="K45" s="332">
        <f>K48+K50+K49</f>
        <v>0</v>
      </c>
      <c r="L45" s="332">
        <f>L48+L50+L49</f>
        <v>200000</v>
      </c>
      <c r="M45" s="332" t="e">
        <f>M48+M49+M50+#REF!+M47</f>
        <v>#REF!</v>
      </c>
      <c r="N45" s="332" t="e">
        <f>N48+N49+N50+#REF!+N47</f>
        <v>#REF!</v>
      </c>
      <c r="O45" s="332" t="e">
        <f>O48+O49+O50+#REF!+O47</f>
        <v>#REF!</v>
      </c>
      <c r="P45" s="333" t="e">
        <f>P48+P49+P50+#REF!+P47+P46</f>
        <v>#REF!</v>
      </c>
      <c r="Q45" s="333" t="e">
        <f>Q48+Q49+Q50+#REF!+Q47+Q46</f>
        <v>#REF!</v>
      </c>
      <c r="R45" s="333" t="e">
        <f>R48+R49+R50+#REF!+R47+R46</f>
        <v>#REF!</v>
      </c>
      <c r="S45" s="508">
        <f>S46+S47+S48+S49+S50+S51</f>
        <v>1004321</v>
      </c>
      <c r="T45" s="333">
        <f>T46+T47+T48+T49+T50+T51</f>
        <v>1011611</v>
      </c>
      <c r="U45" s="517">
        <f t="shared" si="0"/>
        <v>1.0072586354362798</v>
      </c>
    </row>
    <row r="46" spans="1:21" ht="14.25" customHeight="1">
      <c r="A46" s="39"/>
      <c r="B46" s="131" t="s">
        <v>35</v>
      </c>
      <c r="C46" s="41"/>
      <c r="D46" s="48"/>
      <c r="E46" s="48" t="s">
        <v>36</v>
      </c>
      <c r="F46" s="49"/>
      <c r="G46" s="35"/>
      <c r="H46" s="50"/>
      <c r="I46" s="51"/>
      <c r="J46" s="52"/>
      <c r="K46" s="52"/>
      <c r="L46" s="52"/>
      <c r="M46" s="52"/>
      <c r="N46" s="52"/>
      <c r="O46" s="52"/>
      <c r="P46" s="53">
        <v>26</v>
      </c>
      <c r="Q46" s="53">
        <v>0</v>
      </c>
      <c r="R46" s="53">
        <v>0</v>
      </c>
      <c r="S46" s="502">
        <v>26</v>
      </c>
      <c r="T46" s="77">
        <v>26</v>
      </c>
      <c r="U46" s="518">
        <f t="shared" si="0"/>
        <v>1</v>
      </c>
    </row>
    <row r="47" spans="1:21" ht="26.25" customHeight="1">
      <c r="A47" s="30"/>
      <c r="B47" s="74" t="s">
        <v>51</v>
      </c>
      <c r="C47" s="48"/>
      <c r="D47" s="48"/>
      <c r="E47" s="48" t="s">
        <v>52</v>
      </c>
      <c r="F47" s="49"/>
      <c r="G47" s="35"/>
      <c r="H47" s="50"/>
      <c r="I47" s="51"/>
      <c r="J47" s="52"/>
      <c r="K47" s="52"/>
      <c r="L47" s="52"/>
      <c r="M47" s="52">
        <v>8213</v>
      </c>
      <c r="N47" s="52">
        <v>0</v>
      </c>
      <c r="O47" s="52">
        <v>0</v>
      </c>
      <c r="P47" s="33">
        <v>9201</v>
      </c>
      <c r="Q47" s="33">
        <v>0</v>
      </c>
      <c r="R47" s="33">
        <v>0</v>
      </c>
      <c r="S47" s="502">
        <v>5350</v>
      </c>
      <c r="T47" s="77">
        <v>5350</v>
      </c>
      <c r="U47" s="518">
        <f t="shared" si="0"/>
        <v>1</v>
      </c>
    </row>
    <row r="48" spans="1:21" ht="15.75" customHeight="1">
      <c r="A48" s="30"/>
      <c r="B48" s="74" t="s">
        <v>67</v>
      </c>
      <c r="C48" s="32"/>
      <c r="D48" s="32"/>
      <c r="E48" s="32" t="s">
        <v>68</v>
      </c>
      <c r="F48" s="34">
        <v>570998</v>
      </c>
      <c r="G48" s="56">
        <v>882016</v>
      </c>
      <c r="H48" s="36">
        <f>IF(F48&gt;0,G48/F48*100,"")</f>
        <v>154.46919253657632</v>
      </c>
      <c r="I48" s="37" t="e">
        <f>F48/F216</f>
        <v>#REF!</v>
      </c>
      <c r="J48" s="33"/>
      <c r="K48" s="33">
        <v>0</v>
      </c>
      <c r="L48" s="33">
        <v>200000</v>
      </c>
      <c r="M48" s="33">
        <v>547167</v>
      </c>
      <c r="N48" s="33">
        <v>0</v>
      </c>
      <c r="O48" s="33">
        <v>0</v>
      </c>
      <c r="P48" s="33">
        <v>425245</v>
      </c>
      <c r="Q48" s="33">
        <v>0</v>
      </c>
      <c r="R48" s="33">
        <v>0</v>
      </c>
      <c r="S48" s="502">
        <v>887664</v>
      </c>
      <c r="T48" s="77">
        <v>894798</v>
      </c>
      <c r="U48" s="518">
        <f t="shared" si="0"/>
        <v>1.008036824744498</v>
      </c>
    </row>
    <row r="49" spans="1:21" ht="12.75" customHeight="1">
      <c r="A49" s="30"/>
      <c r="B49" s="74" t="s">
        <v>30</v>
      </c>
      <c r="C49" s="32"/>
      <c r="D49" s="32"/>
      <c r="E49" s="32" t="s">
        <v>31</v>
      </c>
      <c r="F49" s="34"/>
      <c r="G49" s="56">
        <v>7000</v>
      </c>
      <c r="H49" s="36"/>
      <c r="I49" s="37"/>
      <c r="J49" s="33"/>
      <c r="K49" s="33">
        <v>0</v>
      </c>
      <c r="L49" s="33">
        <v>0</v>
      </c>
      <c r="M49" s="33">
        <v>800</v>
      </c>
      <c r="N49" s="33">
        <v>0</v>
      </c>
      <c r="O49" s="33">
        <v>0</v>
      </c>
      <c r="P49" s="33">
        <v>4899</v>
      </c>
      <c r="Q49" s="33">
        <v>0</v>
      </c>
      <c r="R49" s="33">
        <v>0</v>
      </c>
      <c r="S49" s="502">
        <v>4031</v>
      </c>
      <c r="T49" s="77">
        <v>4031</v>
      </c>
      <c r="U49" s="518">
        <f t="shared" si="0"/>
        <v>1</v>
      </c>
    </row>
    <row r="50" spans="1:21" ht="14.25" customHeight="1">
      <c r="A50" s="39"/>
      <c r="B50" s="74" t="s">
        <v>69</v>
      </c>
      <c r="C50" s="32"/>
      <c r="D50" s="32"/>
      <c r="E50" s="32" t="s">
        <v>56</v>
      </c>
      <c r="F50" s="34">
        <v>6000</v>
      </c>
      <c r="G50" s="56">
        <v>17800</v>
      </c>
      <c r="H50" s="36">
        <f>IF(F50&gt;0,G50/F50*100,"")</f>
        <v>296.6666666666667</v>
      </c>
      <c r="I50" s="37" t="e">
        <f>F50/F216</f>
        <v>#REF!</v>
      </c>
      <c r="J50" s="33"/>
      <c r="K50" s="33">
        <v>0</v>
      </c>
      <c r="L50" s="33">
        <v>0</v>
      </c>
      <c r="M50" s="33">
        <v>9000</v>
      </c>
      <c r="N50" s="33">
        <v>0</v>
      </c>
      <c r="O50" s="33">
        <v>0</v>
      </c>
      <c r="P50" s="33">
        <v>7950</v>
      </c>
      <c r="Q50" s="33">
        <v>0</v>
      </c>
      <c r="R50" s="33">
        <v>0</v>
      </c>
      <c r="S50" s="502">
        <v>52250</v>
      </c>
      <c r="T50" s="77">
        <v>52406</v>
      </c>
      <c r="U50" s="518">
        <f t="shared" si="0"/>
        <v>1.0029856459330144</v>
      </c>
    </row>
    <row r="51" spans="1:21" ht="24.75" customHeight="1">
      <c r="A51" s="55"/>
      <c r="B51" s="74" t="s">
        <v>70</v>
      </c>
      <c r="C51" s="31"/>
      <c r="D51" s="31"/>
      <c r="E51" s="31">
        <v>2110</v>
      </c>
      <c r="F51" s="34">
        <v>15000</v>
      </c>
      <c r="G51" s="56">
        <v>37000</v>
      </c>
      <c r="H51" s="36">
        <f>IF(F51&gt;0,G51/F51*100,"")</f>
        <v>246.66666666666669</v>
      </c>
      <c r="I51" s="37" t="e">
        <f>F51/F216</f>
        <v>#REF!</v>
      </c>
      <c r="J51" s="33"/>
      <c r="K51" s="33">
        <v>0</v>
      </c>
      <c r="L51" s="33">
        <v>0</v>
      </c>
      <c r="M51" s="33">
        <v>4000</v>
      </c>
      <c r="N51" s="33">
        <v>0</v>
      </c>
      <c r="O51" s="33">
        <v>0</v>
      </c>
      <c r="P51" s="33">
        <v>22000</v>
      </c>
      <c r="Q51" s="33">
        <v>0</v>
      </c>
      <c r="R51" s="33">
        <v>0</v>
      </c>
      <c r="S51" s="502">
        <v>55000</v>
      </c>
      <c r="T51" s="77">
        <v>55000</v>
      </c>
      <c r="U51" s="518">
        <f t="shared" si="0"/>
        <v>1</v>
      </c>
    </row>
    <row r="52" spans="1:21" ht="14.25" customHeight="1">
      <c r="A52" s="20" t="s">
        <v>71</v>
      </c>
      <c r="B52" s="57" t="s">
        <v>72</v>
      </c>
      <c r="C52" s="23">
        <v>710</v>
      </c>
      <c r="D52" s="23"/>
      <c r="E52" s="23"/>
      <c r="F52" s="24">
        <f>F53+F55+F57</f>
        <v>170602</v>
      </c>
      <c r="G52" s="70">
        <f>G53+G55+G57</f>
        <v>139020</v>
      </c>
      <c r="H52" s="58">
        <f>IF(F52&gt;0,G52/F52*100,"")</f>
        <v>81.48790752746157</v>
      </c>
      <c r="I52" s="71" t="e">
        <f>F52/F216</f>
        <v>#REF!</v>
      </c>
      <c r="J52" s="21"/>
      <c r="K52" s="21">
        <f aca="true" t="shared" si="5" ref="K52:T52">K53+K55+K57</f>
        <v>0</v>
      </c>
      <c r="L52" s="21">
        <f t="shared" si="5"/>
        <v>0</v>
      </c>
      <c r="M52" s="21">
        <f t="shared" si="5"/>
        <v>114563</v>
      </c>
      <c r="N52" s="21">
        <f t="shared" si="5"/>
        <v>0</v>
      </c>
      <c r="O52" s="21">
        <f t="shared" si="5"/>
        <v>0</v>
      </c>
      <c r="P52" s="59">
        <f t="shared" si="5"/>
        <v>137866</v>
      </c>
      <c r="Q52" s="59">
        <f t="shared" si="5"/>
        <v>0</v>
      </c>
      <c r="R52" s="59">
        <f t="shared" si="5"/>
        <v>0</v>
      </c>
      <c r="S52" s="504">
        <f t="shared" si="5"/>
        <v>207462</v>
      </c>
      <c r="T52" s="59">
        <f t="shared" si="5"/>
        <v>207466</v>
      </c>
      <c r="U52" s="516">
        <f t="shared" si="0"/>
        <v>1.000019280639346</v>
      </c>
    </row>
    <row r="53" spans="1:21" ht="26.25" customHeight="1">
      <c r="A53" s="350" t="s">
        <v>25</v>
      </c>
      <c r="B53" s="351" t="s">
        <v>73</v>
      </c>
      <c r="C53" s="344"/>
      <c r="D53" s="344">
        <v>71013</v>
      </c>
      <c r="E53" s="348"/>
      <c r="F53" s="345">
        <v>79900</v>
      </c>
      <c r="G53" s="352">
        <v>52100</v>
      </c>
      <c r="H53" s="346">
        <f>IF(F53&gt;0,G53/F53*100,"")</f>
        <v>65.20650813516896</v>
      </c>
      <c r="I53" s="347" t="e">
        <f>F53/F216</f>
        <v>#REF!</v>
      </c>
      <c r="J53" s="348"/>
      <c r="K53" s="348">
        <v>0</v>
      </c>
      <c r="L53" s="348">
        <v>0</v>
      </c>
      <c r="M53" s="348">
        <v>35000</v>
      </c>
      <c r="N53" s="348">
        <v>0</v>
      </c>
      <c r="O53" s="348">
        <v>0</v>
      </c>
      <c r="P53" s="348">
        <v>52000</v>
      </c>
      <c r="Q53" s="348">
        <v>0</v>
      </c>
      <c r="R53" s="348">
        <v>0</v>
      </c>
      <c r="S53" s="500">
        <f>S54</f>
        <v>42000</v>
      </c>
      <c r="T53" s="335">
        <f>T54</f>
        <v>42000</v>
      </c>
      <c r="U53" s="517">
        <f t="shared" si="0"/>
        <v>1</v>
      </c>
    </row>
    <row r="54" spans="1:21" ht="26.25" customHeight="1">
      <c r="A54" s="55"/>
      <c r="B54" s="74" t="s">
        <v>70</v>
      </c>
      <c r="C54" s="31"/>
      <c r="D54" s="31"/>
      <c r="E54" s="31">
        <v>2110</v>
      </c>
      <c r="F54" s="34"/>
      <c r="G54" s="56"/>
      <c r="H54" s="36"/>
      <c r="I54" s="37"/>
      <c r="J54" s="33"/>
      <c r="K54" s="33"/>
      <c r="L54" s="33"/>
      <c r="M54" s="33"/>
      <c r="N54" s="33"/>
      <c r="O54" s="33"/>
      <c r="P54" s="33"/>
      <c r="Q54" s="33"/>
      <c r="R54" s="33"/>
      <c r="S54" s="502">
        <v>42000</v>
      </c>
      <c r="T54" s="77">
        <v>42000</v>
      </c>
      <c r="U54" s="518">
        <f t="shared" si="0"/>
        <v>1</v>
      </c>
    </row>
    <row r="55" spans="1:21" ht="25.5" customHeight="1">
      <c r="A55" s="350" t="s">
        <v>32</v>
      </c>
      <c r="B55" s="351" t="s">
        <v>74</v>
      </c>
      <c r="C55" s="344"/>
      <c r="D55" s="344">
        <v>71014</v>
      </c>
      <c r="E55" s="348"/>
      <c r="F55" s="345">
        <v>20000</v>
      </c>
      <c r="G55" s="352">
        <v>8000</v>
      </c>
      <c r="H55" s="346">
        <f>IF(F55&gt;0,G55/F55*100,"")</f>
        <v>40</v>
      </c>
      <c r="I55" s="347" t="e">
        <f>F55/F216</f>
        <v>#REF!</v>
      </c>
      <c r="J55" s="348"/>
      <c r="K55" s="348">
        <v>0</v>
      </c>
      <c r="L55" s="348">
        <v>0</v>
      </c>
      <c r="M55" s="348">
        <v>4000</v>
      </c>
      <c r="N55" s="348">
        <v>0</v>
      </c>
      <c r="O55" s="348">
        <v>0</v>
      </c>
      <c r="P55" s="348">
        <v>4000</v>
      </c>
      <c r="Q55" s="348">
        <v>0</v>
      </c>
      <c r="R55" s="348">
        <v>0</v>
      </c>
      <c r="S55" s="500">
        <f>S56</f>
        <v>10000</v>
      </c>
      <c r="T55" s="335">
        <f>T56</f>
        <v>10000</v>
      </c>
      <c r="U55" s="517">
        <f t="shared" si="0"/>
        <v>1</v>
      </c>
    </row>
    <row r="56" spans="1:21" ht="27.75" customHeight="1">
      <c r="A56" s="55"/>
      <c r="B56" s="74" t="s">
        <v>70</v>
      </c>
      <c r="C56" s="31"/>
      <c r="D56" s="31"/>
      <c r="E56" s="31">
        <v>2110</v>
      </c>
      <c r="F56" s="34"/>
      <c r="G56" s="56"/>
      <c r="H56" s="36"/>
      <c r="I56" s="37"/>
      <c r="J56" s="33"/>
      <c r="K56" s="33"/>
      <c r="L56" s="33"/>
      <c r="M56" s="33"/>
      <c r="N56" s="33"/>
      <c r="O56" s="33"/>
      <c r="P56" s="33"/>
      <c r="Q56" s="33"/>
      <c r="R56" s="33"/>
      <c r="S56" s="502">
        <v>10000</v>
      </c>
      <c r="T56" s="77">
        <v>10000</v>
      </c>
      <c r="U56" s="518">
        <f t="shared" si="0"/>
        <v>1</v>
      </c>
    </row>
    <row r="57" spans="1:21" ht="17.25" customHeight="1">
      <c r="A57" s="350" t="s">
        <v>75</v>
      </c>
      <c r="B57" s="351" t="s">
        <v>76</v>
      </c>
      <c r="C57" s="344"/>
      <c r="D57" s="344">
        <v>71015</v>
      </c>
      <c r="E57" s="348"/>
      <c r="F57" s="345">
        <v>70702</v>
      </c>
      <c r="G57" s="352">
        <v>78920</v>
      </c>
      <c r="H57" s="346">
        <f>IF(F57&gt;0,G57/F57*100,"")</f>
        <v>111.62343356623575</v>
      </c>
      <c r="I57" s="347" t="e">
        <f>F57/F216</f>
        <v>#REF!</v>
      </c>
      <c r="J57" s="348"/>
      <c r="K57" s="348">
        <v>0</v>
      </c>
      <c r="L57" s="348">
        <v>0</v>
      </c>
      <c r="M57" s="348">
        <v>75563</v>
      </c>
      <c r="N57" s="348">
        <v>0</v>
      </c>
      <c r="O57" s="348">
        <v>0</v>
      </c>
      <c r="P57" s="348">
        <v>81866</v>
      </c>
      <c r="Q57" s="348">
        <v>0</v>
      </c>
      <c r="R57" s="348">
        <v>0</v>
      </c>
      <c r="S57" s="500">
        <f>S58+S59+S60</f>
        <v>155462</v>
      </c>
      <c r="T57" s="348">
        <f>T58+T59+T60</f>
        <v>155466</v>
      </c>
      <c r="U57" s="517">
        <f t="shared" si="0"/>
        <v>1.0000257297603272</v>
      </c>
    </row>
    <row r="58" spans="1:21" ht="17.25" customHeight="1">
      <c r="A58" s="356"/>
      <c r="B58" s="74" t="s">
        <v>30</v>
      </c>
      <c r="C58" s="357"/>
      <c r="D58" s="357"/>
      <c r="E58" s="363" t="s">
        <v>31</v>
      </c>
      <c r="F58" s="358"/>
      <c r="G58" s="359"/>
      <c r="H58" s="360"/>
      <c r="I58" s="361"/>
      <c r="J58" s="324"/>
      <c r="K58" s="324"/>
      <c r="L58" s="324"/>
      <c r="M58" s="324"/>
      <c r="N58" s="324"/>
      <c r="O58" s="324"/>
      <c r="P58" s="324"/>
      <c r="Q58" s="324"/>
      <c r="R58" s="324"/>
      <c r="S58" s="502">
        <v>10</v>
      </c>
      <c r="T58" s="77">
        <v>14</v>
      </c>
      <c r="U58" s="518">
        <f t="shared" si="0"/>
        <v>1.4</v>
      </c>
    </row>
    <row r="59" spans="1:21" ht="26.25" customHeight="1">
      <c r="A59" s="55"/>
      <c r="B59" s="74" t="s">
        <v>70</v>
      </c>
      <c r="C59" s="31"/>
      <c r="D59" s="31"/>
      <c r="E59" s="31">
        <v>2110</v>
      </c>
      <c r="F59" s="34"/>
      <c r="G59" s="56"/>
      <c r="H59" s="36"/>
      <c r="I59" s="37"/>
      <c r="J59" s="33"/>
      <c r="K59" s="33"/>
      <c r="L59" s="33"/>
      <c r="M59" s="33"/>
      <c r="N59" s="33"/>
      <c r="O59" s="33"/>
      <c r="P59" s="33"/>
      <c r="Q59" s="33"/>
      <c r="R59" s="33"/>
      <c r="S59" s="256">
        <v>151952</v>
      </c>
      <c r="T59" s="77">
        <v>151952</v>
      </c>
      <c r="U59" s="518">
        <f t="shared" si="0"/>
        <v>1</v>
      </c>
    </row>
    <row r="60" spans="1:21" ht="43.5" customHeight="1">
      <c r="A60" s="55"/>
      <c r="B60" s="362" t="s">
        <v>630</v>
      </c>
      <c r="C60" s="31"/>
      <c r="D60" s="31"/>
      <c r="E60" s="31">
        <v>6410</v>
      </c>
      <c r="F60" s="34"/>
      <c r="G60" s="56"/>
      <c r="H60" s="36"/>
      <c r="I60" s="37"/>
      <c r="J60" s="33"/>
      <c r="K60" s="33"/>
      <c r="L60" s="33"/>
      <c r="M60" s="33"/>
      <c r="N60" s="33"/>
      <c r="O60" s="33"/>
      <c r="P60" s="33"/>
      <c r="Q60" s="33"/>
      <c r="R60" s="33"/>
      <c r="S60" s="256">
        <v>3500</v>
      </c>
      <c r="T60" s="77">
        <v>3500</v>
      </c>
      <c r="U60" s="518">
        <f t="shared" si="0"/>
        <v>1</v>
      </c>
    </row>
    <row r="61" spans="1:21" ht="16.5" customHeight="1">
      <c r="A61" s="20" t="s">
        <v>77</v>
      </c>
      <c r="B61" s="57" t="s">
        <v>78</v>
      </c>
      <c r="C61" s="23">
        <v>750</v>
      </c>
      <c r="D61" s="23"/>
      <c r="E61" s="80"/>
      <c r="F61" s="69">
        <f>F62+F71</f>
        <v>142453</v>
      </c>
      <c r="G61" s="70">
        <f>G62+G71</f>
        <v>144857</v>
      </c>
      <c r="H61" s="58">
        <f>IF(F61&gt;0,G61/F61*100,"")</f>
        <v>101.68757414726261</v>
      </c>
      <c r="I61" s="71" t="e">
        <f>F61/F216</f>
        <v>#REF!</v>
      </c>
      <c r="J61" s="21"/>
      <c r="K61" s="21">
        <f aca="true" t="shared" si="6" ref="K61:R61">K62+K71</f>
        <v>0</v>
      </c>
      <c r="L61" s="21">
        <f t="shared" si="6"/>
        <v>0</v>
      </c>
      <c r="M61" s="21">
        <f t="shared" si="6"/>
        <v>97055</v>
      </c>
      <c r="N61" s="21">
        <f t="shared" si="6"/>
        <v>0</v>
      </c>
      <c r="O61" s="21">
        <f t="shared" si="6"/>
        <v>0</v>
      </c>
      <c r="P61" s="59">
        <f t="shared" si="6"/>
        <v>103976</v>
      </c>
      <c r="Q61" s="59">
        <f t="shared" si="6"/>
        <v>0</v>
      </c>
      <c r="R61" s="59">
        <f t="shared" si="6"/>
        <v>0</v>
      </c>
      <c r="S61" s="504">
        <f>S62+S64+S71</f>
        <v>1327662</v>
      </c>
      <c r="T61" s="59">
        <f>T62+T64+T71</f>
        <v>1361974</v>
      </c>
      <c r="U61" s="516">
        <f t="shared" si="0"/>
        <v>1.0258439271441075</v>
      </c>
    </row>
    <row r="62" spans="1:21" ht="18.75" customHeight="1">
      <c r="A62" s="350" t="s">
        <v>25</v>
      </c>
      <c r="B62" s="351" t="s">
        <v>79</v>
      </c>
      <c r="C62" s="344"/>
      <c r="D62" s="344">
        <v>75011</v>
      </c>
      <c r="E62" s="348"/>
      <c r="F62" s="345">
        <v>120453</v>
      </c>
      <c r="G62" s="352">
        <v>120857</v>
      </c>
      <c r="H62" s="346">
        <f>IF(F62&gt;0,G62/F62*100,"")</f>
        <v>100.33540052966717</v>
      </c>
      <c r="I62" s="347" t="e">
        <f>F62/F216</f>
        <v>#REF!</v>
      </c>
      <c r="J62" s="348"/>
      <c r="K62" s="348">
        <v>0</v>
      </c>
      <c r="L62" s="348">
        <v>0</v>
      </c>
      <c r="M62" s="348">
        <v>86463</v>
      </c>
      <c r="N62" s="348">
        <v>0</v>
      </c>
      <c r="O62" s="348">
        <v>0</v>
      </c>
      <c r="P62" s="348">
        <v>89799</v>
      </c>
      <c r="Q62" s="348">
        <v>0</v>
      </c>
      <c r="R62" s="348">
        <v>0</v>
      </c>
      <c r="S62" s="500">
        <f>S63</f>
        <v>94258</v>
      </c>
      <c r="T62" s="335">
        <f>T63</f>
        <v>94258</v>
      </c>
      <c r="U62" s="517">
        <f t="shared" si="0"/>
        <v>1</v>
      </c>
    </row>
    <row r="63" spans="1:21" ht="24.75" customHeight="1">
      <c r="A63" s="55"/>
      <c r="B63" s="74" t="s">
        <v>70</v>
      </c>
      <c r="C63" s="31"/>
      <c r="D63" s="31"/>
      <c r="E63" s="31">
        <v>2110</v>
      </c>
      <c r="F63" s="34"/>
      <c r="G63" s="56"/>
      <c r="H63" s="36"/>
      <c r="I63" s="37"/>
      <c r="J63" s="33"/>
      <c r="K63" s="33"/>
      <c r="L63" s="33"/>
      <c r="M63" s="33"/>
      <c r="N63" s="33"/>
      <c r="O63" s="33"/>
      <c r="P63" s="33"/>
      <c r="Q63" s="33"/>
      <c r="R63" s="33"/>
      <c r="S63" s="502">
        <v>94258</v>
      </c>
      <c r="T63" s="77">
        <v>94258</v>
      </c>
      <c r="U63" s="518">
        <f t="shared" si="0"/>
        <v>1</v>
      </c>
    </row>
    <row r="64" spans="1:21" s="54" customFormat="1" ht="15.75" customHeight="1">
      <c r="A64" s="334" t="s">
        <v>32</v>
      </c>
      <c r="B64" s="335" t="s">
        <v>80</v>
      </c>
      <c r="C64" s="353"/>
      <c r="D64" s="353">
        <v>75020</v>
      </c>
      <c r="E64" s="353"/>
      <c r="F64" s="337">
        <f>F65+F66+F67+F68+F69+F70</f>
        <v>585000</v>
      </c>
      <c r="G64" s="338">
        <f>G65+G66+G67+G68+G69+G70</f>
        <v>740250</v>
      </c>
      <c r="H64" s="339">
        <f aca="true" t="shared" si="7" ref="H64:H71">IF(F64&gt;0,G64/F64*100,"")</f>
        <v>126.53846153846153</v>
      </c>
      <c r="I64" s="340" t="e">
        <f>F64/F216</f>
        <v>#REF!</v>
      </c>
      <c r="J64" s="335"/>
      <c r="K64" s="335">
        <f>K65+K66+K67+K68+K70</f>
        <v>0</v>
      </c>
      <c r="L64" s="335">
        <f>L65+L66+L67+L68+L70</f>
        <v>0</v>
      </c>
      <c r="M64" s="335">
        <f aca="true" t="shared" si="8" ref="M64:R64">M65+M66+M67+M68+M70+M69</f>
        <v>564670</v>
      </c>
      <c r="N64" s="335">
        <f t="shared" si="8"/>
        <v>0</v>
      </c>
      <c r="O64" s="335">
        <f t="shared" si="8"/>
        <v>0</v>
      </c>
      <c r="P64" s="341">
        <f t="shared" si="8"/>
        <v>536299</v>
      </c>
      <c r="Q64" s="341">
        <f t="shared" si="8"/>
        <v>0</v>
      </c>
      <c r="R64" s="341">
        <f t="shared" si="8"/>
        <v>0</v>
      </c>
      <c r="S64" s="503">
        <f>S65+S66+S67+S69+S70</f>
        <v>1219916</v>
      </c>
      <c r="T64" s="335">
        <f>T65+T67+T66+T69+T70</f>
        <v>1254228</v>
      </c>
      <c r="U64" s="517">
        <f t="shared" si="0"/>
        <v>1.0281265267444644</v>
      </c>
    </row>
    <row r="65" spans="1:21" ht="16.5" customHeight="1">
      <c r="A65" s="55"/>
      <c r="B65" s="131" t="s">
        <v>81</v>
      </c>
      <c r="C65" s="32"/>
      <c r="D65" s="32"/>
      <c r="E65" s="32" t="s">
        <v>82</v>
      </c>
      <c r="F65" s="34">
        <v>500000</v>
      </c>
      <c r="G65" s="56">
        <v>650000</v>
      </c>
      <c r="H65" s="36">
        <f t="shared" si="7"/>
        <v>130</v>
      </c>
      <c r="I65" s="37" t="e">
        <f>F65/F216</f>
        <v>#REF!</v>
      </c>
      <c r="J65" s="33"/>
      <c r="K65" s="33">
        <v>0</v>
      </c>
      <c r="L65" s="33">
        <v>0</v>
      </c>
      <c r="M65" s="33">
        <v>529000</v>
      </c>
      <c r="N65" s="33">
        <v>0</v>
      </c>
      <c r="O65" s="33">
        <v>0</v>
      </c>
      <c r="P65" s="33">
        <v>523273</v>
      </c>
      <c r="Q65" s="33">
        <v>0</v>
      </c>
      <c r="R65" s="33">
        <v>0</v>
      </c>
      <c r="S65" s="502">
        <v>1210000</v>
      </c>
      <c r="T65" s="77">
        <v>1244186</v>
      </c>
      <c r="U65" s="518">
        <f t="shared" si="0"/>
        <v>1.0282528925619834</v>
      </c>
    </row>
    <row r="66" spans="1:21" ht="14.25" customHeight="1">
      <c r="A66" s="55"/>
      <c r="B66" s="131" t="s">
        <v>35</v>
      </c>
      <c r="C66" s="32"/>
      <c r="D66" s="32"/>
      <c r="E66" s="32" t="s">
        <v>36</v>
      </c>
      <c r="F66" s="34">
        <v>10000</v>
      </c>
      <c r="G66" s="56">
        <v>10000</v>
      </c>
      <c r="H66" s="36">
        <f t="shared" si="7"/>
        <v>100</v>
      </c>
      <c r="I66" s="37" t="e">
        <f>F66/F216</f>
        <v>#REF!</v>
      </c>
      <c r="J66" s="33"/>
      <c r="K66" s="33">
        <v>0</v>
      </c>
      <c r="L66" s="33">
        <v>0</v>
      </c>
      <c r="M66" s="33">
        <v>1800</v>
      </c>
      <c r="N66" s="33">
        <v>0</v>
      </c>
      <c r="O66" s="33">
        <v>0</v>
      </c>
      <c r="P66" s="33">
        <v>1800</v>
      </c>
      <c r="Q66" s="33">
        <v>0</v>
      </c>
      <c r="R66" s="33">
        <v>0</v>
      </c>
      <c r="S66" s="502">
        <v>2100</v>
      </c>
      <c r="T66" s="77">
        <v>2133</v>
      </c>
      <c r="U66" s="518">
        <f t="shared" si="0"/>
        <v>1.0157142857142858</v>
      </c>
    </row>
    <row r="67" spans="1:21" ht="24" customHeight="1">
      <c r="A67" s="55"/>
      <c r="B67" s="74" t="s">
        <v>51</v>
      </c>
      <c r="C67" s="32"/>
      <c r="D67" s="32"/>
      <c r="E67" s="32" t="s">
        <v>52</v>
      </c>
      <c r="F67" s="34">
        <v>2000</v>
      </c>
      <c r="G67" s="56">
        <v>5000</v>
      </c>
      <c r="H67" s="36">
        <f t="shared" si="7"/>
        <v>250</v>
      </c>
      <c r="I67" s="37" t="e">
        <f>F67/F216</f>
        <v>#REF!</v>
      </c>
      <c r="J67" s="33"/>
      <c r="K67" s="33">
        <v>0</v>
      </c>
      <c r="L67" s="33">
        <v>0</v>
      </c>
      <c r="M67" s="33">
        <v>1070</v>
      </c>
      <c r="N67" s="33">
        <v>0</v>
      </c>
      <c r="O67" s="33">
        <v>0</v>
      </c>
      <c r="P67" s="33">
        <v>676</v>
      </c>
      <c r="Q67" s="33">
        <v>0</v>
      </c>
      <c r="R67" s="33">
        <v>0</v>
      </c>
      <c r="S67" s="502">
        <v>1066</v>
      </c>
      <c r="T67" s="77">
        <v>1066</v>
      </c>
      <c r="U67" s="518">
        <f t="shared" si="0"/>
        <v>1</v>
      </c>
    </row>
    <row r="68" spans="1:21" ht="20.25" customHeight="1" hidden="1">
      <c r="A68" s="55"/>
      <c r="B68" s="74" t="s">
        <v>53</v>
      </c>
      <c r="C68" s="32"/>
      <c r="D68" s="32"/>
      <c r="E68" s="32" t="s">
        <v>83</v>
      </c>
      <c r="F68" s="34">
        <v>2000</v>
      </c>
      <c r="G68" s="56">
        <v>5250</v>
      </c>
      <c r="H68" s="36">
        <f t="shared" si="7"/>
        <v>262.5</v>
      </c>
      <c r="I68" s="37" t="e">
        <f>F68/F216</f>
        <v>#REF!</v>
      </c>
      <c r="J68" s="33"/>
      <c r="K68" s="33">
        <v>0</v>
      </c>
      <c r="L68" s="33">
        <v>0</v>
      </c>
      <c r="M68" s="33">
        <v>3800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502"/>
      <c r="T68" s="77">
        <f>T69+T73+T76</f>
        <v>4098197</v>
      </c>
      <c r="U68" s="518" t="e">
        <f t="shared" si="0"/>
        <v>#DIV/0!</v>
      </c>
    </row>
    <row r="69" spans="1:21" ht="12.75" customHeight="1">
      <c r="A69" s="55"/>
      <c r="B69" s="131" t="s">
        <v>53</v>
      </c>
      <c r="C69" s="32"/>
      <c r="D69" s="32"/>
      <c r="E69" s="32" t="s">
        <v>54</v>
      </c>
      <c r="F69" s="34">
        <v>10000</v>
      </c>
      <c r="G69" s="56">
        <v>0</v>
      </c>
      <c r="H69" s="36">
        <f t="shared" si="7"/>
        <v>0</v>
      </c>
      <c r="I69" s="37" t="e">
        <f>F69/F216</f>
        <v>#REF!</v>
      </c>
      <c r="J69" s="33"/>
      <c r="K69" s="33"/>
      <c r="L69" s="33"/>
      <c r="M69" s="33">
        <v>4000</v>
      </c>
      <c r="N69" s="33">
        <v>0</v>
      </c>
      <c r="O69" s="33">
        <v>0</v>
      </c>
      <c r="P69" s="33">
        <v>2785</v>
      </c>
      <c r="Q69" s="33">
        <v>0</v>
      </c>
      <c r="R69" s="33">
        <v>0</v>
      </c>
      <c r="S69" s="502">
        <v>650</v>
      </c>
      <c r="T69" s="77">
        <v>743</v>
      </c>
      <c r="U69" s="518">
        <f t="shared" si="0"/>
        <v>1.143076923076923</v>
      </c>
    </row>
    <row r="70" spans="1:21" ht="14.25" customHeight="1">
      <c r="A70" s="55"/>
      <c r="B70" s="74" t="s">
        <v>55</v>
      </c>
      <c r="C70" s="32"/>
      <c r="D70" s="32"/>
      <c r="E70" s="32" t="s">
        <v>56</v>
      </c>
      <c r="F70" s="34">
        <v>61000</v>
      </c>
      <c r="G70" s="56">
        <v>70000</v>
      </c>
      <c r="H70" s="36">
        <f t="shared" si="7"/>
        <v>114.75409836065573</v>
      </c>
      <c r="I70" s="37" t="e">
        <f>F70/F216</f>
        <v>#REF!</v>
      </c>
      <c r="J70" s="33"/>
      <c r="K70" s="33">
        <v>0</v>
      </c>
      <c r="L70" s="33">
        <v>0</v>
      </c>
      <c r="M70" s="33">
        <v>25000</v>
      </c>
      <c r="N70" s="33">
        <v>0</v>
      </c>
      <c r="O70" s="33">
        <v>0</v>
      </c>
      <c r="P70" s="33">
        <v>7765</v>
      </c>
      <c r="Q70" s="33">
        <v>0</v>
      </c>
      <c r="R70" s="33">
        <v>0</v>
      </c>
      <c r="S70" s="502">
        <v>6100</v>
      </c>
      <c r="T70" s="77">
        <v>6100</v>
      </c>
      <c r="U70" s="518">
        <f t="shared" si="0"/>
        <v>1</v>
      </c>
    </row>
    <row r="71" spans="1:21" ht="18" customHeight="1">
      <c r="A71" s="350" t="s">
        <v>75</v>
      </c>
      <c r="B71" s="351" t="s">
        <v>84</v>
      </c>
      <c r="C71" s="344"/>
      <c r="D71" s="344">
        <v>75045</v>
      </c>
      <c r="E71" s="348"/>
      <c r="F71" s="345">
        <v>22000</v>
      </c>
      <c r="G71" s="352">
        <v>24000</v>
      </c>
      <c r="H71" s="346">
        <f t="shared" si="7"/>
        <v>109.09090909090908</v>
      </c>
      <c r="I71" s="347" t="e">
        <f>F71/F216</f>
        <v>#REF!</v>
      </c>
      <c r="J71" s="348"/>
      <c r="K71" s="348">
        <v>0</v>
      </c>
      <c r="L71" s="348">
        <v>0</v>
      </c>
      <c r="M71" s="348">
        <v>10592</v>
      </c>
      <c r="N71" s="348">
        <v>0</v>
      </c>
      <c r="O71" s="348">
        <v>0</v>
      </c>
      <c r="P71" s="348">
        <v>14177</v>
      </c>
      <c r="Q71" s="348">
        <v>0</v>
      </c>
      <c r="R71" s="348">
        <v>0</v>
      </c>
      <c r="S71" s="500">
        <f>S72</f>
        <v>13488</v>
      </c>
      <c r="T71" s="335">
        <f>T72</f>
        <v>13488</v>
      </c>
      <c r="U71" s="517">
        <f t="shared" si="0"/>
        <v>1</v>
      </c>
    </row>
    <row r="72" spans="1:21" ht="24" customHeight="1">
      <c r="A72" s="55"/>
      <c r="B72" s="74" t="s">
        <v>70</v>
      </c>
      <c r="C72" s="31"/>
      <c r="D72" s="31"/>
      <c r="E72" s="31">
        <v>2110</v>
      </c>
      <c r="F72" s="34"/>
      <c r="G72" s="56"/>
      <c r="H72" s="36"/>
      <c r="I72" s="37"/>
      <c r="J72" s="33"/>
      <c r="K72" s="33"/>
      <c r="L72" s="33"/>
      <c r="M72" s="33"/>
      <c r="N72" s="33"/>
      <c r="O72" s="33"/>
      <c r="P72" s="33"/>
      <c r="Q72" s="33"/>
      <c r="R72" s="33"/>
      <c r="S72" s="502">
        <v>13488</v>
      </c>
      <c r="T72" s="77">
        <v>13488</v>
      </c>
      <c r="U72" s="518">
        <f t="shared" si="0"/>
        <v>1</v>
      </c>
    </row>
    <row r="73" spans="1:21" ht="24.75" customHeight="1">
      <c r="A73" s="20" t="s">
        <v>85</v>
      </c>
      <c r="B73" s="57" t="s">
        <v>86</v>
      </c>
      <c r="C73" s="23">
        <v>754</v>
      </c>
      <c r="D73" s="23"/>
      <c r="E73" s="23"/>
      <c r="F73" s="24" t="e">
        <f>#REF!+F74</f>
        <v>#REF!</v>
      </c>
      <c r="G73" s="70" t="e">
        <f>#REF!+G74</f>
        <v>#REF!</v>
      </c>
      <c r="H73" s="58" t="e">
        <f>IF(F73&gt;0,G73/F73*100,"")</f>
        <v>#REF!</v>
      </c>
      <c r="I73" s="71" t="e">
        <f>F73/F216</f>
        <v>#REF!</v>
      </c>
      <c r="J73" s="21"/>
      <c r="K73" s="21" t="e">
        <f>#REF!+K74</f>
        <v>#REF!</v>
      </c>
      <c r="L73" s="21" t="e">
        <f>#REF!+L74</f>
        <v>#REF!</v>
      </c>
      <c r="M73" s="21" t="e">
        <f>#REF!+M74</f>
        <v>#REF!</v>
      </c>
      <c r="N73" s="21" t="e">
        <f>#REF!+N74</f>
        <v>#REF!</v>
      </c>
      <c r="O73" s="21" t="e">
        <f>#REF!+O74</f>
        <v>#REF!</v>
      </c>
      <c r="P73" s="59" t="e">
        <f>#REF!+P74</f>
        <v>#REF!</v>
      </c>
      <c r="Q73" s="59" t="e">
        <f>#REF!+Q74</f>
        <v>#REF!</v>
      </c>
      <c r="R73" s="59" t="e">
        <f>#REF!+R74</f>
        <v>#REF!</v>
      </c>
      <c r="S73" s="504">
        <f>S74+S78</f>
        <v>2070430</v>
      </c>
      <c r="T73" s="59">
        <f>T74+T78</f>
        <v>2070454</v>
      </c>
      <c r="U73" s="516">
        <f t="shared" si="0"/>
        <v>1.0000115917949413</v>
      </c>
    </row>
    <row r="74" spans="1:21" ht="24" customHeight="1">
      <c r="A74" s="350" t="s">
        <v>25</v>
      </c>
      <c r="B74" s="351" t="s">
        <v>87</v>
      </c>
      <c r="C74" s="344"/>
      <c r="D74" s="344">
        <v>75411</v>
      </c>
      <c r="E74" s="348"/>
      <c r="F74" s="345">
        <v>2662024</v>
      </c>
      <c r="G74" s="352">
        <v>2874880</v>
      </c>
      <c r="H74" s="346">
        <f>IF(F74&gt;0,G74/F74*100,"")</f>
        <v>107.99602107268755</v>
      </c>
      <c r="I74" s="347" t="e">
        <f>F74/F216</f>
        <v>#REF!</v>
      </c>
      <c r="J74" s="348"/>
      <c r="K74" s="348">
        <v>0</v>
      </c>
      <c r="L74" s="348">
        <v>0</v>
      </c>
      <c r="M74" s="335">
        <v>1730000</v>
      </c>
      <c r="N74" s="335">
        <v>0</v>
      </c>
      <c r="O74" s="335">
        <v>0</v>
      </c>
      <c r="P74" s="348">
        <v>1833000</v>
      </c>
      <c r="Q74" s="348">
        <v>0</v>
      </c>
      <c r="R74" s="348">
        <v>0</v>
      </c>
      <c r="S74" s="500">
        <f>S75+S76+S77</f>
        <v>2051430</v>
      </c>
      <c r="T74" s="348">
        <f>T75+T76+T77</f>
        <v>2051459</v>
      </c>
      <c r="U74" s="517">
        <f t="shared" si="0"/>
        <v>1.0000141364804063</v>
      </c>
    </row>
    <row r="75" spans="1:21" ht="19.5" customHeight="1">
      <c r="A75" s="356"/>
      <c r="B75" s="74" t="s">
        <v>30</v>
      </c>
      <c r="C75" s="357"/>
      <c r="D75" s="357"/>
      <c r="E75" s="363" t="s">
        <v>31</v>
      </c>
      <c r="F75" s="358"/>
      <c r="G75" s="359"/>
      <c r="H75" s="360"/>
      <c r="I75" s="361"/>
      <c r="J75" s="324"/>
      <c r="K75" s="324"/>
      <c r="L75" s="324"/>
      <c r="M75" s="77"/>
      <c r="N75" s="77"/>
      <c r="O75" s="77"/>
      <c r="P75" s="324"/>
      <c r="Q75" s="324"/>
      <c r="R75" s="324"/>
      <c r="S75" s="502">
        <v>430</v>
      </c>
      <c r="T75" s="77">
        <v>459</v>
      </c>
      <c r="U75" s="518">
        <f t="shared" si="0"/>
        <v>1.0674418604651164</v>
      </c>
    </row>
    <row r="76" spans="1:21" ht="20.25" customHeight="1">
      <c r="A76" s="55"/>
      <c r="B76" s="74" t="s">
        <v>70</v>
      </c>
      <c r="C76" s="31"/>
      <c r="D76" s="31"/>
      <c r="E76" s="31">
        <v>2110</v>
      </c>
      <c r="F76" s="34"/>
      <c r="G76" s="56"/>
      <c r="H76" s="36"/>
      <c r="I76" s="37"/>
      <c r="J76" s="33"/>
      <c r="K76" s="33"/>
      <c r="L76" s="33"/>
      <c r="M76" s="52"/>
      <c r="N76" s="52"/>
      <c r="O76" s="52"/>
      <c r="P76" s="33"/>
      <c r="Q76" s="33"/>
      <c r="R76" s="33"/>
      <c r="S76" s="502">
        <v>2027000</v>
      </c>
      <c r="T76" s="77">
        <v>2027000</v>
      </c>
      <c r="U76" s="518">
        <f t="shared" si="0"/>
        <v>1</v>
      </c>
    </row>
    <row r="77" spans="1:21" ht="33.75" customHeight="1">
      <c r="A77" s="39"/>
      <c r="B77" s="74" t="s">
        <v>624</v>
      </c>
      <c r="C77" s="31"/>
      <c r="D77" s="76"/>
      <c r="E77" s="76">
        <v>2310</v>
      </c>
      <c r="F77" s="42"/>
      <c r="G77" s="43"/>
      <c r="H77" s="44"/>
      <c r="I77" s="45"/>
      <c r="J77" s="40"/>
      <c r="K77" s="40"/>
      <c r="L77" s="40"/>
      <c r="M77" s="40"/>
      <c r="N77" s="40"/>
      <c r="O77" s="40"/>
      <c r="P77" s="33"/>
      <c r="Q77" s="33"/>
      <c r="R77" s="33"/>
      <c r="S77" s="502">
        <v>24000</v>
      </c>
      <c r="T77" s="77">
        <v>24000</v>
      </c>
      <c r="U77" s="518">
        <f t="shared" si="0"/>
        <v>1</v>
      </c>
    </row>
    <row r="78" spans="1:21" ht="15.75" customHeight="1">
      <c r="A78" s="350" t="s">
        <v>32</v>
      </c>
      <c r="B78" s="351" t="s">
        <v>88</v>
      </c>
      <c r="C78" s="344"/>
      <c r="D78" s="344">
        <v>75414</v>
      </c>
      <c r="E78" s="348"/>
      <c r="F78" s="345"/>
      <c r="G78" s="352"/>
      <c r="H78" s="346"/>
      <c r="I78" s="347"/>
      <c r="J78" s="348"/>
      <c r="K78" s="348"/>
      <c r="L78" s="348"/>
      <c r="M78" s="335"/>
      <c r="N78" s="335"/>
      <c r="O78" s="335"/>
      <c r="P78" s="348"/>
      <c r="Q78" s="348"/>
      <c r="R78" s="348"/>
      <c r="S78" s="500">
        <f>S86</f>
        <v>19000</v>
      </c>
      <c r="T78" s="335">
        <f>T86</f>
        <v>18995</v>
      </c>
      <c r="U78" s="517">
        <f t="shared" si="0"/>
        <v>0.9997368421052631</v>
      </c>
    </row>
    <row r="79" spans="1:21" ht="21.75" customHeight="1" hidden="1">
      <c r="A79" s="39" t="s">
        <v>32</v>
      </c>
      <c r="B79" s="79" t="s">
        <v>33</v>
      </c>
      <c r="C79" s="41"/>
      <c r="D79" s="41" t="s">
        <v>89</v>
      </c>
      <c r="E79" s="41"/>
      <c r="F79" s="42"/>
      <c r="G79" s="43"/>
      <c r="H79" s="44"/>
      <c r="I79" s="45"/>
      <c r="J79" s="40"/>
      <c r="K79" s="40"/>
      <c r="L79" s="40"/>
      <c r="M79" s="40">
        <f aca="true" t="shared" si="9" ref="M79:R79">M80</f>
        <v>3050</v>
      </c>
      <c r="N79" s="40">
        <f t="shared" si="9"/>
        <v>0</v>
      </c>
      <c r="O79" s="40">
        <f t="shared" si="9"/>
        <v>0</v>
      </c>
      <c r="P79" s="40">
        <f t="shared" si="9"/>
        <v>0</v>
      </c>
      <c r="Q79" s="40">
        <f t="shared" si="9"/>
        <v>0</v>
      </c>
      <c r="R79" s="40">
        <f t="shared" si="9"/>
        <v>0</v>
      </c>
      <c r="S79" s="502"/>
      <c r="T79" s="320">
        <f aca="true" t="shared" si="10" ref="T79:T85">T80+T84+T86</f>
        <v>85434415</v>
      </c>
      <c r="U79" s="518" t="e">
        <f t="shared" si="0"/>
        <v>#DIV/0!</v>
      </c>
    </row>
    <row r="80" spans="1:21" ht="0.75" customHeight="1" hidden="1">
      <c r="A80" s="55"/>
      <c r="B80" s="72" t="s">
        <v>90</v>
      </c>
      <c r="C80" s="32"/>
      <c r="D80" s="32"/>
      <c r="E80" s="32" t="s">
        <v>91</v>
      </c>
      <c r="F80" s="34"/>
      <c r="G80" s="56"/>
      <c r="H80" s="36"/>
      <c r="I80" s="37"/>
      <c r="J80" s="33"/>
      <c r="K80" s="33"/>
      <c r="L80" s="33"/>
      <c r="M80" s="33">
        <v>3050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502"/>
      <c r="T80" s="320">
        <f t="shared" si="10"/>
        <v>53789201</v>
      </c>
      <c r="U80" s="518" t="e">
        <f t="shared" si="0"/>
        <v>#DIV/0!</v>
      </c>
    </row>
    <row r="81" spans="1:21" ht="25.5" customHeight="1" hidden="1">
      <c r="A81" s="39" t="s">
        <v>71</v>
      </c>
      <c r="B81" s="79" t="s">
        <v>86</v>
      </c>
      <c r="C81" s="75">
        <v>754</v>
      </c>
      <c r="D81" s="31"/>
      <c r="E81" s="31"/>
      <c r="F81" s="34">
        <f>F82+F84</f>
        <v>18600</v>
      </c>
      <c r="G81" s="43">
        <f>G82+G84</f>
        <v>19700</v>
      </c>
      <c r="H81" s="44">
        <f>IF(F81&gt;0,G81/F81*100,"")</f>
        <v>105.91397849462365</v>
      </c>
      <c r="I81" s="45" t="e">
        <f>F81/F216</f>
        <v>#REF!</v>
      </c>
      <c r="J81" s="40"/>
      <c r="K81" s="40">
        <f aca="true" t="shared" si="11" ref="K81:S81">K82+K84</f>
        <v>0</v>
      </c>
      <c r="L81" s="40">
        <f t="shared" si="11"/>
        <v>0</v>
      </c>
      <c r="M81" s="40">
        <f t="shared" si="11"/>
        <v>6000</v>
      </c>
      <c r="N81" s="40">
        <f t="shared" si="11"/>
        <v>0</v>
      </c>
      <c r="O81" s="40">
        <f t="shared" si="11"/>
        <v>0</v>
      </c>
      <c r="P81" s="46">
        <f t="shared" si="11"/>
        <v>1000</v>
      </c>
      <c r="Q81" s="46">
        <f t="shared" si="11"/>
        <v>0</v>
      </c>
      <c r="R81" s="46">
        <f t="shared" si="11"/>
        <v>0</v>
      </c>
      <c r="S81" s="501">
        <f t="shared" si="11"/>
        <v>0</v>
      </c>
      <c r="T81" s="320">
        <f t="shared" si="10"/>
        <v>38748110</v>
      </c>
      <c r="U81" s="518" t="e">
        <f t="shared" si="0"/>
        <v>#DIV/0!</v>
      </c>
    </row>
    <row r="82" spans="1:21" ht="21.75" customHeight="1" hidden="1">
      <c r="A82" s="39" t="s">
        <v>25</v>
      </c>
      <c r="B82" s="40" t="s">
        <v>92</v>
      </c>
      <c r="C82" s="75"/>
      <c r="D82" s="75">
        <v>75405</v>
      </c>
      <c r="E82" s="75"/>
      <c r="F82" s="42">
        <f>F83</f>
        <v>9000</v>
      </c>
      <c r="G82" s="43">
        <f>G83</f>
        <v>9700</v>
      </c>
      <c r="H82" s="44">
        <f>IF(F82&gt;0,G82/F82*100,"")</f>
        <v>107.77777777777777</v>
      </c>
      <c r="I82" s="45" t="e">
        <f>F82/F216</f>
        <v>#REF!</v>
      </c>
      <c r="J82" s="40"/>
      <c r="K82" s="40">
        <f aca="true" t="shared" si="12" ref="K82:R82">K83</f>
        <v>0</v>
      </c>
      <c r="L82" s="40">
        <f t="shared" si="12"/>
        <v>0</v>
      </c>
      <c r="M82" s="40">
        <f t="shared" si="12"/>
        <v>5000</v>
      </c>
      <c r="N82" s="40">
        <f t="shared" si="12"/>
        <v>0</v>
      </c>
      <c r="O82" s="40">
        <f t="shared" si="12"/>
        <v>0</v>
      </c>
      <c r="P82" s="46">
        <f t="shared" si="12"/>
        <v>0</v>
      </c>
      <c r="Q82" s="46">
        <f t="shared" si="12"/>
        <v>0</v>
      </c>
      <c r="R82" s="46">
        <f t="shared" si="12"/>
        <v>0</v>
      </c>
      <c r="S82" s="502"/>
      <c r="T82" s="320">
        <f t="shared" si="10"/>
        <v>36953391</v>
      </c>
      <c r="U82" s="518" t="e">
        <f t="shared" si="0"/>
        <v>#DIV/0!</v>
      </c>
    </row>
    <row r="83" spans="1:21" ht="0.75" customHeight="1" hidden="1">
      <c r="A83" s="55"/>
      <c r="B83" s="72" t="s">
        <v>30</v>
      </c>
      <c r="C83" s="32"/>
      <c r="D83" s="32"/>
      <c r="E83" s="32" t="s">
        <v>93</v>
      </c>
      <c r="F83" s="34">
        <v>9000</v>
      </c>
      <c r="G83" s="56">
        <v>9700</v>
      </c>
      <c r="H83" s="36">
        <f>IF(F83&gt;0,G83/F83*100,"")</f>
        <v>107.77777777777777</v>
      </c>
      <c r="I83" s="37" t="e">
        <f>F83/F216</f>
        <v>#REF!</v>
      </c>
      <c r="J83" s="33"/>
      <c r="K83" s="33">
        <v>0</v>
      </c>
      <c r="L83" s="33">
        <v>0</v>
      </c>
      <c r="M83" s="33">
        <v>5000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502"/>
      <c r="T83" s="320">
        <f t="shared" si="10"/>
        <v>33496765</v>
      </c>
      <c r="U83" s="518" t="e">
        <f t="shared" si="0"/>
        <v>#DIV/0!</v>
      </c>
    </row>
    <row r="84" spans="1:21" ht="24.75" customHeight="1" hidden="1">
      <c r="A84" s="39" t="s">
        <v>25</v>
      </c>
      <c r="B84" s="79" t="s">
        <v>87</v>
      </c>
      <c r="C84" s="41"/>
      <c r="D84" s="41" t="s">
        <v>94</v>
      </c>
      <c r="E84" s="41"/>
      <c r="F84" s="42">
        <f>F85</f>
        <v>9600</v>
      </c>
      <c r="G84" s="43">
        <f>G85</f>
        <v>10000</v>
      </c>
      <c r="H84" s="44">
        <f>IF(F84&gt;0,G84/F84*100,"")</f>
        <v>104.16666666666667</v>
      </c>
      <c r="I84" s="45" t="e">
        <f>F84/F216</f>
        <v>#REF!</v>
      </c>
      <c r="J84" s="40"/>
      <c r="K84" s="40">
        <f aca="true" t="shared" si="13" ref="K84:S84">K85</f>
        <v>0</v>
      </c>
      <c r="L84" s="40">
        <f t="shared" si="13"/>
        <v>0</v>
      </c>
      <c r="M84" s="40">
        <f t="shared" si="13"/>
        <v>1000</v>
      </c>
      <c r="N84" s="40">
        <f t="shared" si="13"/>
        <v>0</v>
      </c>
      <c r="O84" s="40">
        <f t="shared" si="13"/>
        <v>0</v>
      </c>
      <c r="P84" s="46">
        <f t="shared" si="13"/>
        <v>1000</v>
      </c>
      <c r="Q84" s="46">
        <f t="shared" si="13"/>
        <v>0</v>
      </c>
      <c r="R84" s="46">
        <f t="shared" si="13"/>
        <v>0</v>
      </c>
      <c r="S84" s="501">
        <f t="shared" si="13"/>
        <v>0</v>
      </c>
      <c r="T84" s="320">
        <f t="shared" si="10"/>
        <v>31626219</v>
      </c>
      <c r="U84" s="518" t="e">
        <f t="shared" si="0"/>
        <v>#DIV/0!</v>
      </c>
    </row>
    <row r="85" spans="1:21" ht="13.5" customHeight="1" hidden="1">
      <c r="A85" s="55"/>
      <c r="B85" s="72" t="s">
        <v>30</v>
      </c>
      <c r="C85" s="32"/>
      <c r="D85" s="32"/>
      <c r="E85" s="32" t="s">
        <v>31</v>
      </c>
      <c r="F85" s="34">
        <v>9600</v>
      </c>
      <c r="G85" s="56">
        <v>10000</v>
      </c>
      <c r="H85" s="36">
        <f>IF(F85&gt;0,G85/F85*100,"")</f>
        <v>104.16666666666667</v>
      </c>
      <c r="I85" s="37" t="e">
        <f>F85/F216</f>
        <v>#REF!</v>
      </c>
      <c r="J85" s="33"/>
      <c r="K85" s="33">
        <v>0</v>
      </c>
      <c r="L85" s="33">
        <v>0</v>
      </c>
      <c r="M85" s="33">
        <v>1000</v>
      </c>
      <c r="N85" s="33">
        <v>0</v>
      </c>
      <c r="O85" s="33">
        <v>0</v>
      </c>
      <c r="P85" s="33">
        <v>1000</v>
      </c>
      <c r="Q85" s="33">
        <v>0</v>
      </c>
      <c r="R85" s="33">
        <v>0</v>
      </c>
      <c r="S85" s="502">
        <v>0</v>
      </c>
      <c r="T85" s="320">
        <f t="shared" si="10"/>
        <v>13265367</v>
      </c>
      <c r="U85" s="518" t="e">
        <f t="shared" si="0"/>
        <v>#DIV/0!</v>
      </c>
    </row>
    <row r="86" spans="1:21" ht="33.75" customHeight="1">
      <c r="A86" s="55"/>
      <c r="B86" s="362" t="s">
        <v>630</v>
      </c>
      <c r="C86" s="32"/>
      <c r="D86" s="32"/>
      <c r="E86" s="31">
        <v>6410</v>
      </c>
      <c r="F86" s="34"/>
      <c r="G86" s="56"/>
      <c r="H86" s="36"/>
      <c r="I86" s="37"/>
      <c r="J86" s="33"/>
      <c r="K86" s="33"/>
      <c r="L86" s="33"/>
      <c r="M86" s="33"/>
      <c r="N86" s="33"/>
      <c r="O86" s="33"/>
      <c r="P86" s="33"/>
      <c r="Q86" s="33"/>
      <c r="R86" s="33"/>
      <c r="S86" s="502">
        <v>19000</v>
      </c>
      <c r="T86" s="77">
        <v>18995</v>
      </c>
      <c r="U86" s="518">
        <f aca="true" t="shared" si="14" ref="U86:U144">T86/S86</f>
        <v>0.9997368421052631</v>
      </c>
    </row>
    <row r="87" spans="1:21" ht="35.25" customHeight="1">
      <c r="A87" s="20" t="s">
        <v>95</v>
      </c>
      <c r="B87" s="81" t="s">
        <v>96</v>
      </c>
      <c r="C87" s="22" t="s">
        <v>97</v>
      </c>
      <c r="D87" s="78"/>
      <c r="E87" s="78"/>
      <c r="F87" s="24">
        <f>F88</f>
        <v>285742</v>
      </c>
      <c r="G87" s="70">
        <f>G88</f>
        <v>239445</v>
      </c>
      <c r="H87" s="58">
        <f>IF(F87&gt;0,G87/F87*100,"")</f>
        <v>83.79762163070183</v>
      </c>
      <c r="I87" s="71" t="e">
        <f>F87/F216</f>
        <v>#REF!</v>
      </c>
      <c r="J87" s="21"/>
      <c r="K87" s="21">
        <f aca="true" t="shared" si="15" ref="K87:S87">K88</f>
        <v>0</v>
      </c>
      <c r="L87" s="21">
        <f t="shared" si="15"/>
        <v>0</v>
      </c>
      <c r="M87" s="21">
        <f t="shared" si="15"/>
        <v>134163</v>
      </c>
      <c r="N87" s="21">
        <f t="shared" si="15"/>
        <v>0</v>
      </c>
      <c r="O87" s="21">
        <f t="shared" si="15"/>
        <v>0</v>
      </c>
      <c r="P87" s="59">
        <f t="shared" si="15"/>
        <v>141331</v>
      </c>
      <c r="Q87" s="59">
        <f t="shared" si="15"/>
        <v>0</v>
      </c>
      <c r="R87" s="59">
        <f t="shared" si="15"/>
        <v>0</v>
      </c>
      <c r="S87" s="504">
        <f t="shared" si="15"/>
        <v>1704992</v>
      </c>
      <c r="T87" s="21">
        <f>T88</f>
        <v>1775724</v>
      </c>
      <c r="U87" s="516">
        <f t="shared" si="14"/>
        <v>1.0414852386404159</v>
      </c>
    </row>
    <row r="88" spans="1:21" s="54" customFormat="1" ht="26.25" customHeight="1">
      <c r="A88" s="334" t="s">
        <v>25</v>
      </c>
      <c r="B88" s="354" t="s">
        <v>98</v>
      </c>
      <c r="C88" s="336"/>
      <c r="D88" s="336" t="s">
        <v>99</v>
      </c>
      <c r="E88" s="336"/>
      <c r="F88" s="337">
        <f>F89</f>
        <v>285742</v>
      </c>
      <c r="G88" s="338">
        <f>G89</f>
        <v>239445</v>
      </c>
      <c r="H88" s="339">
        <f>IF(F88&gt;0,G88/F88*100,"")</f>
        <v>83.79762163070183</v>
      </c>
      <c r="I88" s="340" t="e">
        <f>F88/F216</f>
        <v>#REF!</v>
      </c>
      <c r="J88" s="335"/>
      <c r="K88" s="335">
        <f aca="true" t="shared" si="16" ref="K88:R88">K89</f>
        <v>0</v>
      </c>
      <c r="L88" s="335">
        <f t="shared" si="16"/>
        <v>0</v>
      </c>
      <c r="M88" s="335">
        <f t="shared" si="16"/>
        <v>134163</v>
      </c>
      <c r="N88" s="335">
        <f t="shared" si="16"/>
        <v>0</v>
      </c>
      <c r="O88" s="335">
        <f t="shared" si="16"/>
        <v>0</v>
      </c>
      <c r="P88" s="341">
        <f t="shared" si="16"/>
        <v>141331</v>
      </c>
      <c r="Q88" s="341">
        <f t="shared" si="16"/>
        <v>0</v>
      </c>
      <c r="R88" s="341">
        <f t="shared" si="16"/>
        <v>0</v>
      </c>
      <c r="S88" s="503">
        <f>S89+S90</f>
        <v>1704992</v>
      </c>
      <c r="T88" s="341">
        <f>T89+T90</f>
        <v>1775724</v>
      </c>
      <c r="U88" s="517">
        <f t="shared" si="14"/>
        <v>1.0414852386404159</v>
      </c>
    </row>
    <row r="89" spans="1:21" ht="16.5" customHeight="1">
      <c r="A89" s="55"/>
      <c r="B89" s="74" t="s">
        <v>100</v>
      </c>
      <c r="C89" s="32"/>
      <c r="D89" s="32"/>
      <c r="E89" s="32" t="s">
        <v>101</v>
      </c>
      <c r="F89" s="34">
        <v>285742</v>
      </c>
      <c r="G89" s="56">
        <v>239445</v>
      </c>
      <c r="H89" s="36">
        <f>IF(F89&gt;0,G89/F89*100,"")</f>
        <v>83.79762163070183</v>
      </c>
      <c r="I89" s="37" t="e">
        <f>F89/F216</f>
        <v>#REF!</v>
      </c>
      <c r="J89" s="33"/>
      <c r="K89" s="33">
        <v>0</v>
      </c>
      <c r="L89" s="33">
        <v>0</v>
      </c>
      <c r="M89" s="33">
        <v>134163</v>
      </c>
      <c r="N89" s="33">
        <v>0</v>
      </c>
      <c r="O89" s="33">
        <v>0</v>
      </c>
      <c r="P89" s="33">
        <v>141331</v>
      </c>
      <c r="Q89" s="33">
        <v>0</v>
      </c>
      <c r="R89" s="33">
        <v>0</v>
      </c>
      <c r="S89" s="502">
        <v>1620992</v>
      </c>
      <c r="T89" s="77">
        <v>1680902</v>
      </c>
      <c r="U89" s="518">
        <f t="shared" si="14"/>
        <v>1.0369588498894504</v>
      </c>
    </row>
    <row r="90" spans="1:21" ht="16.5" customHeight="1">
      <c r="A90" s="55"/>
      <c r="B90" s="74" t="s">
        <v>102</v>
      </c>
      <c r="C90" s="32"/>
      <c r="D90" s="32"/>
      <c r="E90" s="32" t="s">
        <v>103</v>
      </c>
      <c r="F90" s="34"/>
      <c r="G90" s="56"/>
      <c r="H90" s="36"/>
      <c r="I90" s="37"/>
      <c r="J90" s="33"/>
      <c r="K90" s="33"/>
      <c r="L90" s="33"/>
      <c r="M90" s="33"/>
      <c r="N90" s="33"/>
      <c r="O90" s="33"/>
      <c r="P90" s="33"/>
      <c r="Q90" s="33"/>
      <c r="R90" s="33"/>
      <c r="S90" s="502">
        <v>84000</v>
      </c>
      <c r="T90" s="77">
        <v>94822</v>
      </c>
      <c r="U90" s="518">
        <f t="shared" si="14"/>
        <v>1.1288333333333334</v>
      </c>
    </row>
    <row r="91" spans="1:21" ht="18" customHeight="1">
      <c r="A91" s="20" t="s">
        <v>104</v>
      </c>
      <c r="B91" s="82" t="s">
        <v>105</v>
      </c>
      <c r="C91" s="80">
        <v>758</v>
      </c>
      <c r="D91" s="23"/>
      <c r="E91" s="23"/>
      <c r="F91" s="24">
        <f>F99+F104</f>
        <v>90000</v>
      </c>
      <c r="G91" s="70">
        <f>G104+G99</f>
        <v>100000</v>
      </c>
      <c r="H91" s="58">
        <f>IF(F91&gt;0,G91/F91*100,"")</f>
        <v>111.11111111111111</v>
      </c>
      <c r="I91" s="71" t="e">
        <f>F91/F216</f>
        <v>#REF!</v>
      </c>
      <c r="J91" s="21"/>
      <c r="K91" s="21">
        <f aca="true" t="shared" si="17" ref="K91:R91">K99</f>
        <v>0</v>
      </c>
      <c r="L91" s="21">
        <f t="shared" si="17"/>
        <v>0</v>
      </c>
      <c r="M91" s="21">
        <f t="shared" si="17"/>
        <v>60000</v>
      </c>
      <c r="N91" s="21">
        <f t="shared" si="17"/>
        <v>0</v>
      </c>
      <c r="O91" s="21">
        <f t="shared" si="17"/>
        <v>0</v>
      </c>
      <c r="P91" s="59">
        <f t="shared" si="17"/>
        <v>20000</v>
      </c>
      <c r="Q91" s="59">
        <f t="shared" si="17"/>
        <v>0</v>
      </c>
      <c r="R91" s="59">
        <f t="shared" si="17"/>
        <v>0</v>
      </c>
      <c r="S91" s="504">
        <f>S92+S94+S97+S99+S102</f>
        <v>16679018</v>
      </c>
      <c r="T91" s="59">
        <f>T92+T94+T97+T99+T102</f>
        <v>16679950</v>
      </c>
      <c r="U91" s="516">
        <f t="shared" si="14"/>
        <v>1.0000558785894949</v>
      </c>
    </row>
    <row r="92" spans="1:21" s="89" customFormat="1" ht="28.5" customHeight="1">
      <c r="A92" s="334" t="s">
        <v>25</v>
      </c>
      <c r="B92" s="342" t="s">
        <v>106</v>
      </c>
      <c r="C92" s="353"/>
      <c r="D92" s="353">
        <v>75801</v>
      </c>
      <c r="E92" s="353"/>
      <c r="F92" s="337"/>
      <c r="G92" s="338"/>
      <c r="H92" s="339"/>
      <c r="I92" s="340"/>
      <c r="J92" s="335"/>
      <c r="K92" s="335"/>
      <c r="L92" s="335"/>
      <c r="M92" s="335"/>
      <c r="N92" s="335"/>
      <c r="O92" s="335"/>
      <c r="P92" s="341"/>
      <c r="Q92" s="341"/>
      <c r="R92" s="341"/>
      <c r="S92" s="503">
        <f>S93</f>
        <v>13151550</v>
      </c>
      <c r="T92" s="335">
        <f>T93</f>
        <v>13151550</v>
      </c>
      <c r="U92" s="517">
        <f t="shared" si="14"/>
        <v>1</v>
      </c>
    </row>
    <row r="93" spans="1:21" ht="24.75" customHeight="1">
      <c r="A93" s="55"/>
      <c r="B93" s="74" t="s">
        <v>107</v>
      </c>
      <c r="C93" s="31"/>
      <c r="D93" s="31"/>
      <c r="E93" s="32" t="s">
        <v>108</v>
      </c>
      <c r="F93" s="34"/>
      <c r="G93" s="56"/>
      <c r="H93" s="36"/>
      <c r="I93" s="37"/>
      <c r="J93" s="33"/>
      <c r="K93" s="33"/>
      <c r="L93" s="33"/>
      <c r="M93" s="90"/>
      <c r="N93" s="90"/>
      <c r="O93" s="90"/>
      <c r="P93" s="33"/>
      <c r="Q93" s="33"/>
      <c r="R93" s="33"/>
      <c r="S93" s="502">
        <v>13151550</v>
      </c>
      <c r="T93" s="77">
        <v>13151550</v>
      </c>
      <c r="U93" s="518">
        <f t="shared" si="14"/>
        <v>1</v>
      </c>
    </row>
    <row r="94" spans="1:21" ht="24.75" customHeight="1">
      <c r="A94" s="350" t="s">
        <v>32</v>
      </c>
      <c r="B94" s="342" t="s">
        <v>632</v>
      </c>
      <c r="C94" s="344"/>
      <c r="D94" s="344">
        <v>75802</v>
      </c>
      <c r="E94" s="343"/>
      <c r="F94" s="345"/>
      <c r="G94" s="352"/>
      <c r="H94" s="346"/>
      <c r="I94" s="347"/>
      <c r="J94" s="348"/>
      <c r="K94" s="348"/>
      <c r="L94" s="348"/>
      <c r="M94" s="364"/>
      <c r="N94" s="364"/>
      <c r="O94" s="364"/>
      <c r="P94" s="348"/>
      <c r="Q94" s="348"/>
      <c r="R94" s="348"/>
      <c r="S94" s="500">
        <f>S95+S96</f>
        <v>339394</v>
      </c>
      <c r="T94" s="348">
        <f>T95+T96</f>
        <v>339394</v>
      </c>
      <c r="U94" s="517">
        <f t="shared" si="14"/>
        <v>1</v>
      </c>
    </row>
    <row r="95" spans="1:21" ht="24.75" customHeight="1">
      <c r="A95" s="55"/>
      <c r="B95" s="74" t="s">
        <v>635</v>
      </c>
      <c r="C95" s="31"/>
      <c r="D95" s="31"/>
      <c r="E95" s="32" t="s">
        <v>633</v>
      </c>
      <c r="F95" s="34"/>
      <c r="G95" s="56"/>
      <c r="H95" s="36"/>
      <c r="I95" s="37"/>
      <c r="J95" s="33"/>
      <c r="K95" s="33"/>
      <c r="L95" s="33"/>
      <c r="M95" s="90"/>
      <c r="N95" s="90"/>
      <c r="O95" s="90"/>
      <c r="P95" s="33"/>
      <c r="Q95" s="33"/>
      <c r="R95" s="33"/>
      <c r="S95" s="502">
        <v>259394</v>
      </c>
      <c r="T95" s="77">
        <v>259394</v>
      </c>
      <c r="U95" s="518">
        <f t="shared" si="14"/>
        <v>1</v>
      </c>
    </row>
    <row r="96" spans="1:21" ht="24.75" customHeight="1">
      <c r="A96" s="55"/>
      <c r="B96" s="74" t="s">
        <v>636</v>
      </c>
      <c r="C96" s="31"/>
      <c r="D96" s="31"/>
      <c r="E96" s="32" t="s">
        <v>634</v>
      </c>
      <c r="F96" s="34"/>
      <c r="G96" s="56"/>
      <c r="H96" s="36"/>
      <c r="I96" s="37"/>
      <c r="J96" s="33"/>
      <c r="K96" s="33"/>
      <c r="L96" s="33"/>
      <c r="M96" s="90"/>
      <c r="N96" s="90"/>
      <c r="O96" s="90"/>
      <c r="P96" s="33"/>
      <c r="Q96" s="33"/>
      <c r="R96" s="33"/>
      <c r="S96" s="502">
        <v>80000</v>
      </c>
      <c r="T96" s="77">
        <v>80000</v>
      </c>
      <c r="U96" s="518">
        <f t="shared" si="14"/>
        <v>1</v>
      </c>
    </row>
    <row r="97" spans="1:21" s="89" customFormat="1" ht="26.25" customHeight="1">
      <c r="A97" s="334" t="s">
        <v>75</v>
      </c>
      <c r="B97" s="342" t="s">
        <v>109</v>
      </c>
      <c r="C97" s="353"/>
      <c r="D97" s="353">
        <v>75803</v>
      </c>
      <c r="E97" s="336"/>
      <c r="F97" s="337">
        <v>857613</v>
      </c>
      <c r="G97" s="338">
        <v>912417</v>
      </c>
      <c r="H97" s="339">
        <f>IF(F97&gt;0,G97/F97*100,"")</f>
        <v>106.39029492323459</v>
      </c>
      <c r="I97" s="340" t="e">
        <f>F97/F216</f>
        <v>#REF!</v>
      </c>
      <c r="J97" s="335"/>
      <c r="K97" s="335">
        <v>0</v>
      </c>
      <c r="L97" s="335">
        <v>0</v>
      </c>
      <c r="M97" s="341">
        <v>531382</v>
      </c>
      <c r="N97" s="341">
        <v>0</v>
      </c>
      <c r="O97" s="341">
        <v>0</v>
      </c>
      <c r="P97" s="335">
        <v>543491</v>
      </c>
      <c r="Q97" s="335">
        <v>0</v>
      </c>
      <c r="R97" s="335">
        <v>0</v>
      </c>
      <c r="S97" s="509">
        <f>S98</f>
        <v>1461789</v>
      </c>
      <c r="T97" s="335">
        <f>T98</f>
        <v>1461789</v>
      </c>
      <c r="U97" s="517">
        <f t="shared" si="14"/>
        <v>1</v>
      </c>
    </row>
    <row r="98" spans="1:21" ht="23.25" customHeight="1">
      <c r="A98" s="92"/>
      <c r="B98" s="74" t="s">
        <v>110</v>
      </c>
      <c r="C98" s="31"/>
      <c r="D98" s="31"/>
      <c r="E98" s="32" t="s">
        <v>108</v>
      </c>
      <c r="F98" s="34"/>
      <c r="G98" s="56"/>
      <c r="H98" s="36"/>
      <c r="I98" s="37"/>
      <c r="J98" s="33"/>
      <c r="K98" s="33"/>
      <c r="L98" s="33"/>
      <c r="M98" s="90"/>
      <c r="N98" s="90"/>
      <c r="O98" s="90"/>
      <c r="P98" s="33"/>
      <c r="Q98" s="33"/>
      <c r="R98" s="33"/>
      <c r="S98" s="502">
        <v>1461789</v>
      </c>
      <c r="T98" s="77">
        <v>1461789</v>
      </c>
      <c r="U98" s="518">
        <f t="shared" si="14"/>
        <v>1</v>
      </c>
    </row>
    <row r="99" spans="1:21" s="54" customFormat="1" ht="17.25" customHeight="1">
      <c r="A99" s="334" t="s">
        <v>112</v>
      </c>
      <c r="B99" s="342" t="s">
        <v>111</v>
      </c>
      <c r="C99" s="353"/>
      <c r="D99" s="353">
        <v>75814</v>
      </c>
      <c r="E99" s="336"/>
      <c r="F99" s="337">
        <f>F100</f>
        <v>90000</v>
      </c>
      <c r="G99" s="338">
        <f>G100</f>
        <v>100000</v>
      </c>
      <c r="H99" s="339">
        <f>IF(F99&gt;0,G99/F99*100,"")</f>
        <v>111.11111111111111</v>
      </c>
      <c r="I99" s="340" t="e">
        <f>F99/F216</f>
        <v>#REF!</v>
      </c>
      <c r="J99" s="335"/>
      <c r="K99" s="335">
        <f aca="true" t="shared" si="18" ref="K99:R99">K100</f>
        <v>0</v>
      </c>
      <c r="L99" s="335">
        <f t="shared" si="18"/>
        <v>0</v>
      </c>
      <c r="M99" s="335">
        <f t="shared" si="18"/>
        <v>60000</v>
      </c>
      <c r="N99" s="335">
        <f t="shared" si="18"/>
        <v>0</v>
      </c>
      <c r="O99" s="335">
        <f t="shared" si="18"/>
        <v>0</v>
      </c>
      <c r="P99" s="341">
        <f t="shared" si="18"/>
        <v>20000</v>
      </c>
      <c r="Q99" s="341">
        <f t="shared" si="18"/>
        <v>0</v>
      </c>
      <c r="R99" s="341">
        <f t="shared" si="18"/>
        <v>0</v>
      </c>
      <c r="S99" s="503">
        <f>S100+S101</f>
        <v>61070</v>
      </c>
      <c r="T99" s="341">
        <f>T100+T101</f>
        <v>62002</v>
      </c>
      <c r="U99" s="517">
        <f t="shared" si="14"/>
        <v>1.0152611757000163</v>
      </c>
    </row>
    <row r="100" spans="1:21" ht="20.25" customHeight="1">
      <c r="A100" s="55"/>
      <c r="B100" s="74" t="s">
        <v>30</v>
      </c>
      <c r="C100" s="31"/>
      <c r="D100" s="31"/>
      <c r="E100" s="32" t="s">
        <v>31</v>
      </c>
      <c r="F100" s="34">
        <v>90000</v>
      </c>
      <c r="G100" s="56">
        <v>100000</v>
      </c>
      <c r="H100" s="36">
        <f>IF(F100&gt;0,G100/F100*100,"")</f>
        <v>111.11111111111111</v>
      </c>
      <c r="I100" s="37" t="e">
        <f>F100/F216</f>
        <v>#REF!</v>
      </c>
      <c r="J100" s="33"/>
      <c r="K100" s="33">
        <v>0</v>
      </c>
      <c r="L100" s="33">
        <v>0</v>
      </c>
      <c r="M100" s="33">
        <v>60000</v>
      </c>
      <c r="N100" s="33">
        <v>0</v>
      </c>
      <c r="O100" s="33">
        <v>0</v>
      </c>
      <c r="P100" s="33">
        <v>20000</v>
      </c>
      <c r="Q100" s="33">
        <v>0</v>
      </c>
      <c r="R100" s="33">
        <v>0</v>
      </c>
      <c r="S100" s="502">
        <v>61000</v>
      </c>
      <c r="T100" s="77">
        <v>61940</v>
      </c>
      <c r="U100" s="518">
        <f t="shared" si="14"/>
        <v>1.0154098360655737</v>
      </c>
    </row>
    <row r="101" spans="1:21" ht="20.25" customHeight="1">
      <c r="A101" s="55"/>
      <c r="B101" s="74" t="s">
        <v>30</v>
      </c>
      <c r="C101" s="31"/>
      <c r="D101" s="31"/>
      <c r="E101" s="32" t="s">
        <v>625</v>
      </c>
      <c r="F101" s="34"/>
      <c r="G101" s="56"/>
      <c r="H101" s="36"/>
      <c r="I101" s="37"/>
      <c r="J101" s="33"/>
      <c r="K101" s="33"/>
      <c r="L101" s="33"/>
      <c r="M101" s="33"/>
      <c r="N101" s="33"/>
      <c r="O101" s="33"/>
      <c r="P101" s="33"/>
      <c r="Q101" s="33"/>
      <c r="R101" s="33"/>
      <c r="S101" s="502">
        <v>70</v>
      </c>
      <c r="T101" s="77">
        <v>62</v>
      </c>
      <c r="U101" s="518">
        <f t="shared" si="14"/>
        <v>0.8857142857142857</v>
      </c>
    </row>
    <row r="102" spans="1:21" s="77" customFormat="1" ht="26.25" customHeight="1">
      <c r="A102" s="334" t="s">
        <v>631</v>
      </c>
      <c r="B102" s="342" t="s">
        <v>113</v>
      </c>
      <c r="C102" s="353"/>
      <c r="D102" s="353">
        <v>75832</v>
      </c>
      <c r="E102" s="336"/>
      <c r="F102" s="337"/>
      <c r="G102" s="338"/>
      <c r="H102" s="339"/>
      <c r="I102" s="340"/>
      <c r="J102" s="335"/>
      <c r="K102" s="335"/>
      <c r="L102" s="335"/>
      <c r="M102" s="341"/>
      <c r="N102" s="341"/>
      <c r="O102" s="341"/>
      <c r="P102" s="335"/>
      <c r="Q102" s="335"/>
      <c r="R102" s="335"/>
      <c r="S102" s="509">
        <f>S103</f>
        <v>1665215</v>
      </c>
      <c r="T102" s="335">
        <f>T103</f>
        <v>1665215</v>
      </c>
      <c r="U102" s="517">
        <f t="shared" si="14"/>
        <v>1</v>
      </c>
    </row>
    <row r="103" spans="1:21" s="94" customFormat="1" ht="27" customHeight="1">
      <c r="A103" s="39"/>
      <c r="B103" s="74" t="s">
        <v>114</v>
      </c>
      <c r="C103" s="75"/>
      <c r="D103" s="75"/>
      <c r="E103" s="48" t="s">
        <v>108</v>
      </c>
      <c r="F103" s="42"/>
      <c r="G103" s="43"/>
      <c r="H103" s="44"/>
      <c r="I103" s="45"/>
      <c r="J103" s="40"/>
      <c r="K103" s="40"/>
      <c r="L103" s="40"/>
      <c r="M103" s="46"/>
      <c r="N103" s="46"/>
      <c r="O103" s="46"/>
      <c r="P103" s="40"/>
      <c r="Q103" s="40"/>
      <c r="R103" s="40"/>
      <c r="S103" s="507">
        <v>1665215</v>
      </c>
      <c r="T103" s="77">
        <v>1665215</v>
      </c>
      <c r="U103" s="518">
        <f t="shared" si="14"/>
        <v>1</v>
      </c>
    </row>
    <row r="104" spans="1:21" ht="26.25" customHeight="1" hidden="1">
      <c r="A104" s="55" t="s">
        <v>32</v>
      </c>
      <c r="B104" s="72" t="s">
        <v>115</v>
      </c>
      <c r="C104" s="31"/>
      <c r="D104" s="31">
        <v>75809</v>
      </c>
      <c r="E104" s="31"/>
      <c r="F104" s="34">
        <f>F105+F106</f>
        <v>0</v>
      </c>
      <c r="G104" s="56">
        <f>G105+G106</f>
        <v>0</v>
      </c>
      <c r="H104" s="36">
        <f aca="true" t="shared" si="19" ref="H104:H111">IF(F104&gt;0,G104/F104*100,"")</f>
      </c>
      <c r="I104" s="37" t="e">
        <f>F104/F216</f>
        <v>#REF!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256"/>
      <c r="T104" s="21" t="e">
        <f>T105+T109+T111</f>
        <v>#REF!</v>
      </c>
      <c r="U104" s="516" t="e">
        <f t="shared" si="14"/>
        <v>#REF!</v>
      </c>
    </row>
    <row r="105" spans="1:21" ht="52.5" customHeight="1" hidden="1">
      <c r="A105" s="55"/>
      <c r="B105" s="72" t="s">
        <v>116</v>
      </c>
      <c r="C105" s="31"/>
      <c r="D105" s="31"/>
      <c r="E105" s="31">
        <v>271</v>
      </c>
      <c r="F105" s="34">
        <v>0</v>
      </c>
      <c r="G105" s="56">
        <v>0</v>
      </c>
      <c r="H105" s="36">
        <f t="shared" si="19"/>
      </c>
      <c r="I105" s="37" t="e">
        <f>F105/F216</f>
        <v>#REF!</v>
      </c>
      <c r="J105" s="33"/>
      <c r="K105" s="33"/>
      <c r="L105" s="33"/>
      <c r="M105" s="33"/>
      <c r="N105" s="33"/>
      <c r="O105" s="33"/>
      <c r="P105" s="33"/>
      <c r="Q105" s="33"/>
      <c r="R105" s="33"/>
      <c r="S105" s="256"/>
      <c r="T105" s="21" t="e">
        <f>T106+T110+T112</f>
        <v>#REF!</v>
      </c>
      <c r="U105" s="516" t="e">
        <f t="shared" si="14"/>
        <v>#REF!</v>
      </c>
    </row>
    <row r="106" spans="1:21" ht="63.75" customHeight="1" hidden="1">
      <c r="A106" s="55"/>
      <c r="B106" s="72" t="s">
        <v>117</v>
      </c>
      <c r="C106" s="31"/>
      <c r="D106" s="31"/>
      <c r="E106" s="31">
        <v>630</v>
      </c>
      <c r="F106" s="34">
        <v>0</v>
      </c>
      <c r="G106" s="56">
        <v>0</v>
      </c>
      <c r="H106" s="36">
        <f t="shared" si="19"/>
      </c>
      <c r="I106" s="37" t="e">
        <f>F106/F216</f>
        <v>#REF!</v>
      </c>
      <c r="J106" s="33"/>
      <c r="K106" s="33"/>
      <c r="L106" s="33"/>
      <c r="M106" s="33"/>
      <c r="N106" s="33"/>
      <c r="O106" s="33"/>
      <c r="P106" s="33"/>
      <c r="Q106" s="33"/>
      <c r="R106" s="33"/>
      <c r="S106" s="256"/>
      <c r="T106" s="21" t="e">
        <f>T107+T111+T113</f>
        <v>#REF!</v>
      </c>
      <c r="U106" s="516" t="e">
        <f t="shared" si="14"/>
        <v>#REF!</v>
      </c>
    </row>
    <row r="107" spans="1:21" ht="18" customHeight="1">
      <c r="A107" s="20" t="s">
        <v>118</v>
      </c>
      <c r="B107" s="82" t="s">
        <v>119</v>
      </c>
      <c r="C107" s="22" t="s">
        <v>120</v>
      </c>
      <c r="D107" s="78"/>
      <c r="E107" s="78"/>
      <c r="F107" s="24" t="e">
        <f>F108+#REF!</f>
        <v>#REF!</v>
      </c>
      <c r="G107" s="70" t="e">
        <f>G108+#REF!+G115+#REF!</f>
        <v>#REF!</v>
      </c>
      <c r="H107" s="58" t="e">
        <f t="shared" si="19"/>
        <v>#REF!</v>
      </c>
      <c r="I107" s="71" t="e">
        <f>F107/F216</f>
        <v>#REF!</v>
      </c>
      <c r="J107" s="21"/>
      <c r="K107" s="21" t="e">
        <f>K108+#REF!+K115+#REF!</f>
        <v>#REF!</v>
      </c>
      <c r="L107" s="21" t="e">
        <f>L108+#REF!+L115+#REF!</f>
        <v>#REF!</v>
      </c>
      <c r="M107" s="21" t="e">
        <f>M108+M115+#REF!+#REF!</f>
        <v>#REF!</v>
      </c>
      <c r="N107" s="21" t="e">
        <f>N108+N115+#REF!</f>
        <v>#REF!</v>
      </c>
      <c r="O107" s="21" t="e">
        <f>O108+O115+#REF!</f>
        <v>#REF!</v>
      </c>
      <c r="P107" s="59" t="e">
        <f>P108+P115+#REF!+P121</f>
        <v>#REF!</v>
      </c>
      <c r="Q107" s="59" t="e">
        <f>Q108+Q115+#REF!+Q121</f>
        <v>#REF!</v>
      </c>
      <c r="R107" s="59" t="e">
        <f>R108+R115+#REF!+R121</f>
        <v>#REF!</v>
      </c>
      <c r="S107" s="504">
        <f>S108+S115+S121</f>
        <v>149205</v>
      </c>
      <c r="T107" s="59">
        <f>T108+T115+T121</f>
        <v>158067</v>
      </c>
      <c r="U107" s="516">
        <f t="shared" si="14"/>
        <v>1.0593947923997185</v>
      </c>
    </row>
    <row r="108" spans="1:21" s="54" customFormat="1" ht="16.5" customHeight="1">
      <c r="A108" s="334" t="s">
        <v>25</v>
      </c>
      <c r="B108" s="335" t="s">
        <v>121</v>
      </c>
      <c r="C108" s="336"/>
      <c r="D108" s="336" t="s">
        <v>122</v>
      </c>
      <c r="E108" s="336"/>
      <c r="F108" s="337" t="e">
        <f>F109+F110+#REF!+F111</f>
        <v>#REF!</v>
      </c>
      <c r="G108" s="338" t="e">
        <f>G109+G110+#REF!+G111</f>
        <v>#REF!</v>
      </c>
      <c r="H108" s="339" t="e">
        <f t="shared" si="19"/>
        <v>#REF!</v>
      </c>
      <c r="I108" s="340" t="e">
        <f>F108/F216</f>
        <v>#REF!</v>
      </c>
      <c r="J108" s="335"/>
      <c r="K108" s="335" t="e">
        <f>K109+K110+#REF!+K111</f>
        <v>#REF!</v>
      </c>
      <c r="L108" s="335" t="e">
        <f>L109+L110+#REF!+L111</f>
        <v>#REF!</v>
      </c>
      <c r="M108" s="335" t="e">
        <f>M109+M110+#REF!+M111+M112</f>
        <v>#REF!</v>
      </c>
      <c r="N108" s="335" t="e">
        <f>N109+N110+#REF!+N111+N112</f>
        <v>#REF!</v>
      </c>
      <c r="O108" s="335" t="e">
        <f>O109+O110+#REF!+O111+O112</f>
        <v>#REF!</v>
      </c>
      <c r="P108" s="335">
        <f>P109+P110+P111+P112</f>
        <v>30000</v>
      </c>
      <c r="Q108" s="335">
        <f>Q109+Q110+Q111+Q112</f>
        <v>0</v>
      </c>
      <c r="R108" s="335">
        <f>R109+R110+R111+R112</f>
        <v>4387</v>
      </c>
      <c r="S108" s="509">
        <f>S109+S110+S113+S114</f>
        <v>23180</v>
      </c>
      <c r="T108" s="335">
        <f>T109+T110+T113+T114</f>
        <v>24092</v>
      </c>
      <c r="U108" s="517">
        <f t="shared" si="14"/>
        <v>1.039344262295082</v>
      </c>
    </row>
    <row r="109" spans="1:21" ht="16.5" customHeight="1">
      <c r="A109" s="55"/>
      <c r="B109" s="131" t="s">
        <v>35</v>
      </c>
      <c r="C109" s="32"/>
      <c r="D109" s="32"/>
      <c r="E109" s="32" t="s">
        <v>36</v>
      </c>
      <c r="F109" s="34">
        <v>490</v>
      </c>
      <c r="G109" s="56">
        <v>500</v>
      </c>
      <c r="H109" s="36">
        <f t="shared" si="19"/>
        <v>102.04081632653062</v>
      </c>
      <c r="I109" s="37" t="e">
        <f>F109/F216</f>
        <v>#REF!</v>
      </c>
      <c r="J109" s="33"/>
      <c r="K109" s="33">
        <v>0</v>
      </c>
      <c r="L109" s="33">
        <v>0</v>
      </c>
      <c r="M109" s="33">
        <v>450</v>
      </c>
      <c r="N109" s="33">
        <v>0</v>
      </c>
      <c r="O109" s="33">
        <v>0</v>
      </c>
      <c r="P109" s="33">
        <v>600</v>
      </c>
      <c r="Q109" s="33">
        <v>0</v>
      </c>
      <c r="R109" s="33">
        <v>0</v>
      </c>
      <c r="S109" s="502">
        <v>350</v>
      </c>
      <c r="T109" s="77">
        <v>352</v>
      </c>
      <c r="U109" s="518">
        <f t="shared" si="14"/>
        <v>1.0057142857142858</v>
      </c>
    </row>
    <row r="110" spans="1:21" ht="23.25" customHeight="1">
      <c r="A110" s="55"/>
      <c r="B110" s="74" t="s">
        <v>123</v>
      </c>
      <c r="C110" s="32"/>
      <c r="D110" s="32"/>
      <c r="E110" s="32" t="s">
        <v>52</v>
      </c>
      <c r="F110" s="34">
        <v>41300</v>
      </c>
      <c r="G110" s="56">
        <v>53461</v>
      </c>
      <c r="H110" s="36">
        <f t="shared" si="19"/>
        <v>129.4455205811138</v>
      </c>
      <c r="I110" s="37" t="e">
        <f>F110/F216</f>
        <v>#REF!</v>
      </c>
      <c r="J110" s="33"/>
      <c r="K110" s="33">
        <v>0</v>
      </c>
      <c r="L110" s="33">
        <v>0</v>
      </c>
      <c r="M110" s="33">
        <v>39124</v>
      </c>
      <c r="N110" s="33">
        <v>0</v>
      </c>
      <c r="O110" s="33">
        <v>0</v>
      </c>
      <c r="P110" s="33">
        <v>29000</v>
      </c>
      <c r="Q110" s="33">
        <v>0</v>
      </c>
      <c r="R110" s="33">
        <v>4000</v>
      </c>
      <c r="S110" s="502">
        <v>22300</v>
      </c>
      <c r="T110" s="77">
        <v>23172</v>
      </c>
      <c r="U110" s="518">
        <f t="shared" si="14"/>
        <v>1.0391031390134529</v>
      </c>
    </row>
    <row r="111" spans="1:21" ht="17.25" customHeight="1" hidden="1">
      <c r="A111" s="55"/>
      <c r="B111" s="74" t="s">
        <v>30</v>
      </c>
      <c r="C111" s="32"/>
      <c r="D111" s="32"/>
      <c r="E111" s="32" t="s">
        <v>31</v>
      </c>
      <c r="F111" s="34">
        <v>9420</v>
      </c>
      <c r="G111" s="56">
        <v>8420</v>
      </c>
      <c r="H111" s="36">
        <f t="shared" si="19"/>
        <v>89.38428874734608</v>
      </c>
      <c r="I111" s="37" t="e">
        <f>F111/F216</f>
        <v>#REF!</v>
      </c>
      <c r="J111" s="33"/>
      <c r="K111" s="33">
        <v>0</v>
      </c>
      <c r="L111" s="33">
        <v>0</v>
      </c>
      <c r="M111" s="33">
        <v>220</v>
      </c>
      <c r="N111" s="33">
        <v>0</v>
      </c>
      <c r="O111" s="33">
        <v>0</v>
      </c>
      <c r="P111" s="33">
        <v>400</v>
      </c>
      <c r="Q111" s="33">
        <v>0</v>
      </c>
      <c r="R111" s="33">
        <v>387</v>
      </c>
      <c r="S111" s="502">
        <v>0</v>
      </c>
      <c r="T111" s="77" t="e">
        <f>T112+#REF!+T117</f>
        <v>#REF!</v>
      </c>
      <c r="U111" s="518" t="e">
        <f t="shared" si="14"/>
        <v>#REF!</v>
      </c>
    </row>
    <row r="112" spans="1:21" ht="18.75" customHeight="1" hidden="1">
      <c r="A112" s="55"/>
      <c r="B112" s="74" t="s">
        <v>55</v>
      </c>
      <c r="C112" s="32"/>
      <c r="D112" s="32"/>
      <c r="E112" s="32" t="s">
        <v>57</v>
      </c>
      <c r="F112" s="34"/>
      <c r="G112" s="56"/>
      <c r="H112" s="36"/>
      <c r="I112" s="37"/>
      <c r="J112" s="33"/>
      <c r="K112" s="33"/>
      <c r="L112" s="33"/>
      <c r="M112" s="33">
        <v>1732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502"/>
      <c r="T112" s="77">
        <f>T113+T116+T118</f>
        <v>70650</v>
      </c>
      <c r="U112" s="518" t="e">
        <f t="shared" si="14"/>
        <v>#DIV/0!</v>
      </c>
    </row>
    <row r="113" spans="1:21" ht="13.5" customHeight="1">
      <c r="A113" s="55"/>
      <c r="B113" s="74" t="s">
        <v>53</v>
      </c>
      <c r="C113" s="32"/>
      <c r="D113" s="32"/>
      <c r="E113" s="32" t="s">
        <v>54</v>
      </c>
      <c r="F113" s="34"/>
      <c r="G113" s="56"/>
      <c r="H113" s="36"/>
      <c r="I113" s="37"/>
      <c r="J113" s="33"/>
      <c r="K113" s="33"/>
      <c r="L113" s="33"/>
      <c r="M113" s="33"/>
      <c r="N113" s="33"/>
      <c r="O113" s="33"/>
      <c r="P113" s="33"/>
      <c r="Q113" s="33"/>
      <c r="R113" s="33"/>
      <c r="S113" s="502">
        <v>260</v>
      </c>
      <c r="T113" s="77">
        <v>260</v>
      </c>
      <c r="U113" s="518">
        <f t="shared" si="14"/>
        <v>1</v>
      </c>
    </row>
    <row r="114" spans="1:21" ht="15.75" customHeight="1">
      <c r="A114" s="55"/>
      <c r="B114" s="74" t="s">
        <v>30</v>
      </c>
      <c r="C114" s="32"/>
      <c r="D114" s="32"/>
      <c r="E114" s="32" t="s">
        <v>31</v>
      </c>
      <c r="F114" s="34"/>
      <c r="G114" s="56"/>
      <c r="H114" s="36"/>
      <c r="I114" s="37"/>
      <c r="J114" s="33"/>
      <c r="K114" s="33"/>
      <c r="L114" s="33"/>
      <c r="M114" s="33"/>
      <c r="N114" s="33"/>
      <c r="O114" s="33"/>
      <c r="P114" s="33"/>
      <c r="Q114" s="33"/>
      <c r="R114" s="33"/>
      <c r="S114" s="502">
        <v>270</v>
      </c>
      <c r="T114" s="77">
        <v>308</v>
      </c>
      <c r="U114" s="518">
        <f t="shared" si="14"/>
        <v>1.1407407407407408</v>
      </c>
    </row>
    <row r="115" spans="1:21" s="54" customFormat="1" ht="22.5" customHeight="1">
      <c r="A115" s="334" t="s">
        <v>32</v>
      </c>
      <c r="B115" s="342" t="s">
        <v>124</v>
      </c>
      <c r="C115" s="336"/>
      <c r="D115" s="336" t="s">
        <v>125</v>
      </c>
      <c r="E115" s="336"/>
      <c r="F115" s="337"/>
      <c r="G115" s="338" t="e">
        <f>#REF!+G116+G117+G118+G119+G120</f>
        <v>#REF!</v>
      </c>
      <c r="H115" s="339"/>
      <c r="I115" s="340"/>
      <c r="J115" s="335"/>
      <c r="K115" s="335" t="e">
        <f>#REF!+K116+K117+K118+K119+K120</f>
        <v>#REF!</v>
      </c>
      <c r="L115" s="335" t="e">
        <f>#REF!+L116+L117+L118+L119+L120</f>
        <v>#REF!</v>
      </c>
      <c r="M115" s="335" t="e">
        <f>#REF!+M116+M117+M118+M119+M120</f>
        <v>#REF!</v>
      </c>
      <c r="N115" s="335" t="e">
        <f>#REF!+N116+N117+N118+N119+N120</f>
        <v>#REF!</v>
      </c>
      <c r="O115" s="335" t="e">
        <f>#REF!+O116+O117+O118+O119+O120</f>
        <v>#REF!</v>
      </c>
      <c r="P115" s="341" t="e">
        <f>#REF!+P116+P117+P118+P119+P120</f>
        <v>#REF!</v>
      </c>
      <c r="Q115" s="341" t="e">
        <f>#REF!+Q116+Q117+Q118+Q119+Q120</f>
        <v>#REF!</v>
      </c>
      <c r="R115" s="341" t="e">
        <f>#REF!+R116+R117+R118+R119+R120</f>
        <v>#REF!</v>
      </c>
      <c r="S115" s="503">
        <f>S116+S117+S118+S119+S120</f>
        <v>124925</v>
      </c>
      <c r="T115" s="341">
        <f>T116+T117+T118+T119+T120</f>
        <v>132875</v>
      </c>
      <c r="U115" s="517">
        <f t="shared" si="14"/>
        <v>1.0636381829097459</v>
      </c>
    </row>
    <row r="116" spans="1:21" ht="27" customHeight="1">
      <c r="A116" s="55"/>
      <c r="B116" s="74" t="s">
        <v>123</v>
      </c>
      <c r="C116" s="32"/>
      <c r="D116" s="32"/>
      <c r="E116" s="32" t="s">
        <v>52</v>
      </c>
      <c r="F116" s="34"/>
      <c r="G116" s="56">
        <v>195458</v>
      </c>
      <c r="H116" s="36"/>
      <c r="I116" s="37"/>
      <c r="J116" s="33"/>
      <c r="K116" s="33">
        <v>0</v>
      </c>
      <c r="L116" s="33">
        <v>0</v>
      </c>
      <c r="M116" s="33">
        <v>84152</v>
      </c>
      <c r="N116" s="33">
        <v>0</v>
      </c>
      <c r="O116" s="33">
        <v>0</v>
      </c>
      <c r="P116" s="33">
        <v>180558</v>
      </c>
      <c r="Q116" s="33">
        <v>0</v>
      </c>
      <c r="R116" s="33">
        <v>0</v>
      </c>
      <c r="S116" s="502">
        <v>58680</v>
      </c>
      <c r="T116" s="77">
        <v>64868</v>
      </c>
      <c r="U116" s="518">
        <f t="shared" si="14"/>
        <v>1.105453306066803</v>
      </c>
    </row>
    <row r="117" spans="1:21" ht="16.5" customHeight="1">
      <c r="A117" s="55"/>
      <c r="B117" s="74" t="s">
        <v>53</v>
      </c>
      <c r="C117" s="32"/>
      <c r="D117" s="32"/>
      <c r="E117" s="32" t="s">
        <v>54</v>
      </c>
      <c r="F117" s="34"/>
      <c r="G117" s="56">
        <v>92116</v>
      </c>
      <c r="H117" s="36"/>
      <c r="I117" s="37"/>
      <c r="J117" s="33"/>
      <c r="K117" s="33">
        <v>0</v>
      </c>
      <c r="L117" s="33">
        <v>0</v>
      </c>
      <c r="M117" s="33">
        <v>69767</v>
      </c>
      <c r="N117" s="33">
        <v>0</v>
      </c>
      <c r="O117" s="33">
        <v>0</v>
      </c>
      <c r="P117" s="33">
        <v>68098</v>
      </c>
      <c r="Q117" s="33">
        <v>0</v>
      </c>
      <c r="R117" s="33">
        <v>0</v>
      </c>
      <c r="S117" s="502">
        <v>51617</v>
      </c>
      <c r="T117" s="77">
        <v>52665</v>
      </c>
      <c r="U117" s="518">
        <f t="shared" si="14"/>
        <v>1.0203033884185442</v>
      </c>
    </row>
    <row r="118" spans="1:21" ht="18.75" customHeight="1">
      <c r="A118" s="55"/>
      <c r="B118" s="74" t="s">
        <v>67</v>
      </c>
      <c r="C118" s="32"/>
      <c r="D118" s="32"/>
      <c r="E118" s="32" t="s">
        <v>68</v>
      </c>
      <c r="F118" s="34"/>
      <c r="G118" s="56">
        <v>200</v>
      </c>
      <c r="H118" s="36"/>
      <c r="I118" s="37"/>
      <c r="J118" s="33"/>
      <c r="K118" s="33">
        <v>0</v>
      </c>
      <c r="L118" s="33">
        <v>0</v>
      </c>
      <c r="M118" s="33">
        <v>200</v>
      </c>
      <c r="N118" s="33">
        <v>0</v>
      </c>
      <c r="O118" s="33">
        <v>0</v>
      </c>
      <c r="P118" s="33">
        <v>230</v>
      </c>
      <c r="Q118" s="33">
        <v>0</v>
      </c>
      <c r="R118" s="33">
        <v>0</v>
      </c>
      <c r="S118" s="502">
        <v>5521</v>
      </c>
      <c r="T118" s="77">
        <v>5522</v>
      </c>
      <c r="U118" s="518">
        <f t="shared" si="14"/>
        <v>1.0001811266074987</v>
      </c>
    </row>
    <row r="119" spans="1:21" ht="18.75" customHeight="1">
      <c r="A119" s="55"/>
      <c r="B119" s="74" t="s">
        <v>30</v>
      </c>
      <c r="C119" s="32"/>
      <c r="D119" s="32"/>
      <c r="E119" s="32" t="s">
        <v>31</v>
      </c>
      <c r="F119" s="34"/>
      <c r="G119" s="56">
        <v>13881</v>
      </c>
      <c r="H119" s="36"/>
      <c r="I119" s="37"/>
      <c r="J119" s="33"/>
      <c r="K119" s="33">
        <v>0</v>
      </c>
      <c r="L119" s="33">
        <v>0</v>
      </c>
      <c r="M119" s="33">
        <v>4650</v>
      </c>
      <c r="N119" s="33">
        <v>0</v>
      </c>
      <c r="O119" s="33">
        <v>0</v>
      </c>
      <c r="P119" s="33">
        <v>1270</v>
      </c>
      <c r="Q119" s="33">
        <v>0</v>
      </c>
      <c r="R119" s="33">
        <v>0</v>
      </c>
      <c r="S119" s="502">
        <v>253</v>
      </c>
      <c r="T119" s="77">
        <v>302</v>
      </c>
      <c r="U119" s="518">
        <f t="shared" si="14"/>
        <v>1.1936758893280632</v>
      </c>
    </row>
    <row r="120" spans="1:21" ht="18" customHeight="1">
      <c r="A120" s="55"/>
      <c r="B120" s="74" t="s">
        <v>55</v>
      </c>
      <c r="C120" s="32"/>
      <c r="D120" s="32"/>
      <c r="E120" s="32" t="s">
        <v>56</v>
      </c>
      <c r="F120" s="34"/>
      <c r="G120" s="56">
        <v>200</v>
      </c>
      <c r="H120" s="36"/>
      <c r="I120" s="37"/>
      <c r="J120" s="33"/>
      <c r="K120" s="33">
        <v>0</v>
      </c>
      <c r="L120" s="33">
        <v>0</v>
      </c>
      <c r="M120" s="33">
        <v>886</v>
      </c>
      <c r="N120" s="33">
        <v>0</v>
      </c>
      <c r="O120" s="33">
        <v>0</v>
      </c>
      <c r="P120" s="33">
        <v>1693</v>
      </c>
      <c r="Q120" s="33">
        <v>0</v>
      </c>
      <c r="R120" s="33">
        <v>0</v>
      </c>
      <c r="S120" s="502">
        <v>8854</v>
      </c>
      <c r="T120" s="77">
        <v>9518</v>
      </c>
      <c r="U120" s="518">
        <f t="shared" si="14"/>
        <v>1.0749943528348769</v>
      </c>
    </row>
    <row r="121" spans="1:21" ht="21.75" customHeight="1">
      <c r="A121" s="350" t="s">
        <v>75</v>
      </c>
      <c r="B121" s="342" t="s">
        <v>33</v>
      </c>
      <c r="C121" s="327"/>
      <c r="D121" s="336" t="s">
        <v>129</v>
      </c>
      <c r="E121" s="327"/>
      <c r="F121" s="328" t="e">
        <f>#REF!+F122</f>
        <v>#REF!</v>
      </c>
      <c r="G121" s="329" t="e">
        <f>#REF!+G122</f>
        <v>#REF!</v>
      </c>
      <c r="H121" s="330" t="e">
        <f>IF(F121&gt;0,G121/F121*100,"")</f>
        <v>#REF!</v>
      </c>
      <c r="I121" s="331" t="e">
        <f>F121/F216</f>
        <v>#REF!</v>
      </c>
      <c r="J121" s="332"/>
      <c r="K121" s="332" t="e">
        <f>#REF!+K122</f>
        <v>#REF!</v>
      </c>
      <c r="L121" s="332" t="e">
        <f>#REF!+L122</f>
        <v>#REF!</v>
      </c>
      <c r="M121" s="332">
        <f aca="true" t="shared" si="20" ref="M121:T121">M122</f>
        <v>304</v>
      </c>
      <c r="N121" s="332">
        <f t="shared" si="20"/>
        <v>0</v>
      </c>
      <c r="O121" s="332">
        <f t="shared" si="20"/>
        <v>0</v>
      </c>
      <c r="P121" s="333">
        <f t="shared" si="20"/>
        <v>0</v>
      </c>
      <c r="Q121" s="333">
        <f t="shared" si="20"/>
        <v>44118</v>
      </c>
      <c r="R121" s="333">
        <f t="shared" si="20"/>
        <v>0</v>
      </c>
      <c r="S121" s="508">
        <f t="shared" si="20"/>
        <v>1100</v>
      </c>
      <c r="T121" s="333">
        <f t="shared" si="20"/>
        <v>1100</v>
      </c>
      <c r="U121" s="517">
        <f t="shared" si="14"/>
        <v>1</v>
      </c>
    </row>
    <row r="122" spans="1:21" ht="20.25" customHeight="1">
      <c r="A122" s="55"/>
      <c r="B122" s="74" t="s">
        <v>153</v>
      </c>
      <c r="C122" s="32"/>
      <c r="D122" s="32"/>
      <c r="E122" s="32" t="s">
        <v>637</v>
      </c>
      <c r="F122" s="34">
        <v>700</v>
      </c>
      <c r="G122" s="56">
        <v>700</v>
      </c>
      <c r="H122" s="36">
        <f>IF(F122&gt;0,G122/F122*100,"")</f>
        <v>100</v>
      </c>
      <c r="I122" s="37" t="e">
        <f>F122/F216</f>
        <v>#REF!</v>
      </c>
      <c r="J122" s="33"/>
      <c r="K122" s="33"/>
      <c r="L122" s="33"/>
      <c r="M122" s="33">
        <v>304</v>
      </c>
      <c r="N122" s="33">
        <v>0</v>
      </c>
      <c r="O122" s="33">
        <v>0</v>
      </c>
      <c r="P122" s="33">
        <v>0</v>
      </c>
      <c r="Q122" s="33">
        <v>44118</v>
      </c>
      <c r="R122" s="33">
        <v>0</v>
      </c>
      <c r="S122" s="256">
        <v>1100</v>
      </c>
      <c r="T122" s="77">
        <v>1100</v>
      </c>
      <c r="U122" s="518">
        <f t="shared" si="14"/>
        <v>1</v>
      </c>
    </row>
    <row r="123" spans="1:21" ht="21.75" customHeight="1">
      <c r="A123" s="20" t="s">
        <v>134</v>
      </c>
      <c r="B123" s="57" t="s">
        <v>135</v>
      </c>
      <c r="C123" s="80">
        <v>803</v>
      </c>
      <c r="D123" s="28"/>
      <c r="E123" s="80"/>
      <c r="F123" s="69"/>
      <c r="G123" s="70"/>
      <c r="H123" s="58"/>
      <c r="I123" s="71"/>
      <c r="J123" s="21"/>
      <c r="K123" s="21"/>
      <c r="L123" s="21"/>
      <c r="M123" s="21"/>
      <c r="N123" s="21"/>
      <c r="O123" s="21"/>
      <c r="P123" s="21" t="e">
        <f>#REF!</f>
        <v>#REF!</v>
      </c>
      <c r="Q123" s="21" t="e">
        <f>#REF!</f>
        <v>#REF!</v>
      </c>
      <c r="R123" s="21" t="e">
        <f>#REF!</f>
        <v>#REF!</v>
      </c>
      <c r="S123" s="499">
        <f>S124</f>
        <v>88432</v>
      </c>
      <c r="T123" s="21">
        <f>T124</f>
        <v>88464</v>
      </c>
      <c r="U123" s="516">
        <f t="shared" si="14"/>
        <v>1.0003618599601953</v>
      </c>
    </row>
    <row r="124" spans="1:21" s="89" customFormat="1" ht="21.75" customHeight="1">
      <c r="A124" s="334" t="s">
        <v>25</v>
      </c>
      <c r="B124" s="342" t="s">
        <v>136</v>
      </c>
      <c r="C124" s="353"/>
      <c r="D124" s="353">
        <v>80309</v>
      </c>
      <c r="E124" s="353"/>
      <c r="F124" s="337"/>
      <c r="G124" s="338"/>
      <c r="H124" s="339"/>
      <c r="I124" s="340"/>
      <c r="J124" s="335"/>
      <c r="K124" s="335"/>
      <c r="L124" s="335"/>
      <c r="M124" s="335"/>
      <c r="N124" s="335"/>
      <c r="O124" s="335"/>
      <c r="P124" s="335"/>
      <c r="Q124" s="335"/>
      <c r="R124" s="335"/>
      <c r="S124" s="509">
        <f>S125+S126+S127+S128+S129</f>
        <v>88432</v>
      </c>
      <c r="T124" s="335">
        <f>T125+T126+T127+T128+T129</f>
        <v>88464</v>
      </c>
      <c r="U124" s="517">
        <f t="shared" si="14"/>
        <v>1.0003618599601953</v>
      </c>
    </row>
    <row r="125" spans="1:21" s="89" customFormat="1" ht="21.75" customHeight="1">
      <c r="A125" s="83"/>
      <c r="B125" s="74" t="s">
        <v>30</v>
      </c>
      <c r="C125" s="84"/>
      <c r="D125" s="84"/>
      <c r="E125" s="91" t="s">
        <v>625</v>
      </c>
      <c r="F125" s="85"/>
      <c r="G125" s="86"/>
      <c r="H125" s="87"/>
      <c r="I125" s="88"/>
      <c r="J125" s="77"/>
      <c r="K125" s="77"/>
      <c r="L125" s="77"/>
      <c r="M125" s="77"/>
      <c r="N125" s="77"/>
      <c r="O125" s="77"/>
      <c r="P125" s="77"/>
      <c r="Q125" s="77"/>
      <c r="R125" s="77"/>
      <c r="S125" s="507">
        <v>0</v>
      </c>
      <c r="T125" s="77">
        <v>32</v>
      </c>
      <c r="U125" s="518">
        <v>0</v>
      </c>
    </row>
    <row r="126" spans="1:21" s="89" customFormat="1" ht="21.75" customHeight="1">
      <c r="A126" s="83"/>
      <c r="B126" s="74" t="s">
        <v>638</v>
      </c>
      <c r="C126" s="84"/>
      <c r="D126" s="84"/>
      <c r="E126" s="84">
        <v>2328</v>
      </c>
      <c r="F126" s="85"/>
      <c r="G126" s="86"/>
      <c r="H126" s="87"/>
      <c r="I126" s="88"/>
      <c r="J126" s="77"/>
      <c r="K126" s="77"/>
      <c r="L126" s="77"/>
      <c r="M126" s="77"/>
      <c r="N126" s="77"/>
      <c r="O126" s="77"/>
      <c r="P126" s="77"/>
      <c r="Q126" s="77"/>
      <c r="R126" s="77"/>
      <c r="S126" s="507">
        <v>51125</v>
      </c>
      <c r="T126" s="77">
        <v>51125</v>
      </c>
      <c r="U126" s="518">
        <f t="shared" si="14"/>
        <v>1</v>
      </c>
    </row>
    <row r="127" spans="1:21" s="89" customFormat="1" ht="21.75" customHeight="1">
      <c r="A127" s="83"/>
      <c r="B127" s="74" t="s">
        <v>638</v>
      </c>
      <c r="C127" s="84"/>
      <c r="D127" s="84"/>
      <c r="E127" s="84">
        <v>2329</v>
      </c>
      <c r="F127" s="85"/>
      <c r="G127" s="86"/>
      <c r="H127" s="87"/>
      <c r="I127" s="88"/>
      <c r="J127" s="77"/>
      <c r="K127" s="77"/>
      <c r="L127" s="77"/>
      <c r="M127" s="77"/>
      <c r="N127" s="77"/>
      <c r="O127" s="77"/>
      <c r="P127" s="77"/>
      <c r="Q127" s="77"/>
      <c r="R127" s="77"/>
      <c r="S127" s="507">
        <v>17042</v>
      </c>
      <c r="T127" s="77">
        <v>17042</v>
      </c>
      <c r="U127" s="518">
        <f t="shared" si="14"/>
        <v>1</v>
      </c>
    </row>
    <row r="128" spans="1:21" ht="47.25" customHeight="1">
      <c r="A128" s="30"/>
      <c r="B128" s="74" t="s">
        <v>137</v>
      </c>
      <c r="C128" s="76"/>
      <c r="D128" s="76"/>
      <c r="E128" s="76">
        <v>2338</v>
      </c>
      <c r="F128" s="49"/>
      <c r="G128" s="35"/>
      <c r="H128" s="50"/>
      <c r="I128" s="51"/>
      <c r="J128" s="52"/>
      <c r="K128" s="52"/>
      <c r="L128" s="52"/>
      <c r="M128" s="52"/>
      <c r="N128" s="52"/>
      <c r="O128" s="52"/>
      <c r="P128" s="33"/>
      <c r="Q128" s="33"/>
      <c r="R128" s="33"/>
      <c r="S128" s="502">
        <v>15199</v>
      </c>
      <c r="T128" s="77">
        <v>15199</v>
      </c>
      <c r="U128" s="518">
        <f t="shared" si="14"/>
        <v>1</v>
      </c>
    </row>
    <row r="129" spans="1:21" ht="44.25" customHeight="1">
      <c r="A129" s="30"/>
      <c r="B129" s="74" t="s">
        <v>137</v>
      </c>
      <c r="C129" s="76"/>
      <c r="D129" s="76"/>
      <c r="E129" s="76">
        <v>2339</v>
      </c>
      <c r="F129" s="49"/>
      <c r="G129" s="35"/>
      <c r="H129" s="50"/>
      <c r="I129" s="51"/>
      <c r="J129" s="52"/>
      <c r="K129" s="52"/>
      <c r="L129" s="52"/>
      <c r="M129" s="52"/>
      <c r="N129" s="52"/>
      <c r="O129" s="52"/>
      <c r="P129" s="33"/>
      <c r="Q129" s="33"/>
      <c r="R129" s="33"/>
      <c r="S129" s="502">
        <v>5066</v>
      </c>
      <c r="T129" s="77">
        <v>5066</v>
      </c>
      <c r="U129" s="518">
        <f t="shared" si="14"/>
        <v>1</v>
      </c>
    </row>
    <row r="130" spans="1:21" ht="15" customHeight="1">
      <c r="A130" s="20" t="s">
        <v>138</v>
      </c>
      <c r="B130" s="57" t="s">
        <v>130</v>
      </c>
      <c r="C130" s="22" t="s">
        <v>131</v>
      </c>
      <c r="D130" s="22"/>
      <c r="E130" s="22"/>
      <c r="F130" s="69"/>
      <c r="G130" s="70"/>
      <c r="H130" s="58"/>
      <c r="I130" s="71"/>
      <c r="J130" s="21"/>
      <c r="K130" s="21"/>
      <c r="L130" s="21"/>
      <c r="M130" s="21"/>
      <c r="N130" s="21"/>
      <c r="O130" s="21"/>
      <c r="P130" s="21">
        <f>P131</f>
        <v>8070</v>
      </c>
      <c r="Q130" s="21">
        <f>Q131</f>
        <v>0</v>
      </c>
      <c r="R130" s="21">
        <f>R131</f>
        <v>0</v>
      </c>
      <c r="S130" s="499">
        <f>S131+S135+S139</f>
        <v>836050</v>
      </c>
      <c r="T130" s="21">
        <f>T131+T135+T139</f>
        <v>833496</v>
      </c>
      <c r="U130" s="516">
        <f t="shared" si="14"/>
        <v>0.9969451587823694</v>
      </c>
    </row>
    <row r="131" spans="1:21" s="54" customFormat="1" ht="16.5" customHeight="1">
      <c r="A131" s="334" t="s">
        <v>25</v>
      </c>
      <c r="B131" s="342" t="s">
        <v>132</v>
      </c>
      <c r="C131" s="336"/>
      <c r="D131" s="336" t="s">
        <v>133</v>
      </c>
      <c r="E131" s="336"/>
      <c r="F131" s="337"/>
      <c r="G131" s="338"/>
      <c r="H131" s="339"/>
      <c r="I131" s="340"/>
      <c r="J131" s="335"/>
      <c r="K131" s="335"/>
      <c r="L131" s="335"/>
      <c r="M131" s="335"/>
      <c r="N131" s="335"/>
      <c r="O131" s="335"/>
      <c r="P131" s="335">
        <f>P133</f>
        <v>8070</v>
      </c>
      <c r="Q131" s="335">
        <f>Q133</f>
        <v>0</v>
      </c>
      <c r="R131" s="335">
        <f>R133</f>
        <v>0</v>
      </c>
      <c r="S131" s="509">
        <f>S132+S133+S134</f>
        <v>243580</v>
      </c>
      <c r="T131" s="335">
        <f>T132+T133+T134</f>
        <v>241026</v>
      </c>
      <c r="U131" s="517">
        <f t="shared" si="14"/>
        <v>0.9895147384842762</v>
      </c>
    </row>
    <row r="132" spans="1:21" ht="25.5" customHeight="1">
      <c r="A132" s="39"/>
      <c r="B132" s="74" t="s">
        <v>139</v>
      </c>
      <c r="C132" s="32"/>
      <c r="D132" s="41"/>
      <c r="E132" s="48" t="s">
        <v>140</v>
      </c>
      <c r="F132" s="49"/>
      <c r="G132" s="35"/>
      <c r="H132" s="50"/>
      <c r="I132" s="51"/>
      <c r="J132" s="52"/>
      <c r="K132" s="52"/>
      <c r="L132" s="52"/>
      <c r="M132" s="52"/>
      <c r="N132" s="52"/>
      <c r="O132" s="52"/>
      <c r="P132" s="52"/>
      <c r="Q132" s="52"/>
      <c r="R132" s="52"/>
      <c r="S132" s="507">
        <v>55645</v>
      </c>
      <c r="T132" s="77">
        <v>55645</v>
      </c>
      <c r="U132" s="518">
        <f t="shared" si="14"/>
        <v>1</v>
      </c>
    </row>
    <row r="133" spans="1:21" ht="19.5" customHeight="1">
      <c r="A133" s="55"/>
      <c r="B133" s="74" t="s">
        <v>141</v>
      </c>
      <c r="C133" s="32"/>
      <c r="D133" s="32"/>
      <c r="E133" s="32" t="s">
        <v>52</v>
      </c>
      <c r="F133" s="34"/>
      <c r="G133" s="56"/>
      <c r="H133" s="36"/>
      <c r="I133" s="37"/>
      <c r="J133" s="33"/>
      <c r="K133" s="33"/>
      <c r="L133" s="33"/>
      <c r="M133" s="33"/>
      <c r="N133" s="33"/>
      <c r="O133" s="33"/>
      <c r="P133" s="33">
        <v>8070</v>
      </c>
      <c r="Q133" s="33">
        <v>0</v>
      </c>
      <c r="R133" s="33">
        <v>0</v>
      </c>
      <c r="S133" s="502">
        <v>24000</v>
      </c>
      <c r="T133" s="77">
        <v>24000</v>
      </c>
      <c r="U133" s="518">
        <f t="shared" si="14"/>
        <v>1</v>
      </c>
    </row>
    <row r="134" spans="1:21" ht="21.75" customHeight="1">
      <c r="A134" s="30"/>
      <c r="B134" s="74" t="s">
        <v>59</v>
      </c>
      <c r="C134" s="48"/>
      <c r="D134" s="48"/>
      <c r="E134" s="48" t="s">
        <v>60</v>
      </c>
      <c r="F134" s="52"/>
      <c r="G134" s="52"/>
      <c r="H134" s="50"/>
      <c r="I134" s="50"/>
      <c r="J134" s="52"/>
      <c r="K134" s="52"/>
      <c r="L134" s="52"/>
      <c r="M134" s="52"/>
      <c r="N134" s="52"/>
      <c r="O134" s="52"/>
      <c r="P134" s="53"/>
      <c r="Q134" s="53"/>
      <c r="R134" s="53"/>
      <c r="S134" s="506">
        <v>163935</v>
      </c>
      <c r="T134" s="77">
        <v>161381</v>
      </c>
      <c r="U134" s="518">
        <f t="shared" si="14"/>
        <v>0.9844206545277091</v>
      </c>
    </row>
    <row r="135" spans="1:21" ht="21.75" customHeight="1">
      <c r="A135" s="30"/>
      <c r="B135" s="342" t="s">
        <v>640</v>
      </c>
      <c r="C135" s="336"/>
      <c r="D135" s="336" t="s">
        <v>639</v>
      </c>
      <c r="E135" s="336"/>
      <c r="F135" s="335"/>
      <c r="G135" s="335"/>
      <c r="H135" s="339"/>
      <c r="I135" s="339"/>
      <c r="J135" s="335"/>
      <c r="K135" s="335"/>
      <c r="L135" s="335"/>
      <c r="M135" s="335"/>
      <c r="N135" s="335"/>
      <c r="O135" s="335"/>
      <c r="P135" s="341"/>
      <c r="Q135" s="341"/>
      <c r="R135" s="341"/>
      <c r="S135" s="503">
        <f>S136+S137+S138</f>
        <v>73470</v>
      </c>
      <c r="T135" s="341">
        <f>T136+T137+T138</f>
        <v>73470</v>
      </c>
      <c r="U135" s="517">
        <f t="shared" si="14"/>
        <v>1</v>
      </c>
    </row>
    <row r="136" spans="1:21" ht="21.75" customHeight="1">
      <c r="A136" s="30"/>
      <c r="B136" s="74" t="s">
        <v>624</v>
      </c>
      <c r="C136" s="48"/>
      <c r="D136" s="48"/>
      <c r="E136" s="48" t="s">
        <v>230</v>
      </c>
      <c r="F136" s="52"/>
      <c r="G136" s="52"/>
      <c r="H136" s="50"/>
      <c r="I136" s="50"/>
      <c r="J136" s="52"/>
      <c r="K136" s="52"/>
      <c r="L136" s="52"/>
      <c r="M136" s="52"/>
      <c r="N136" s="52"/>
      <c r="O136" s="52"/>
      <c r="P136" s="53"/>
      <c r="Q136" s="53"/>
      <c r="R136" s="53"/>
      <c r="S136" s="506">
        <v>2000</v>
      </c>
      <c r="T136" s="77">
        <v>2000</v>
      </c>
      <c r="U136" s="518">
        <f t="shared" si="14"/>
        <v>1</v>
      </c>
    </row>
    <row r="137" spans="1:21" ht="34.5" customHeight="1">
      <c r="A137" s="30"/>
      <c r="B137" s="74" t="s">
        <v>642</v>
      </c>
      <c r="C137" s="48"/>
      <c r="D137" s="48"/>
      <c r="E137" s="48" t="s">
        <v>293</v>
      </c>
      <c r="F137" s="52"/>
      <c r="G137" s="52"/>
      <c r="H137" s="50"/>
      <c r="I137" s="50"/>
      <c r="J137" s="52"/>
      <c r="K137" s="52"/>
      <c r="L137" s="52"/>
      <c r="M137" s="52"/>
      <c r="N137" s="52"/>
      <c r="O137" s="52"/>
      <c r="P137" s="53"/>
      <c r="Q137" s="53"/>
      <c r="R137" s="53"/>
      <c r="S137" s="506">
        <v>22820</v>
      </c>
      <c r="T137" s="77">
        <v>22820</v>
      </c>
      <c r="U137" s="518">
        <f t="shared" si="14"/>
        <v>1</v>
      </c>
    </row>
    <row r="138" spans="1:21" ht="44.25" customHeight="1">
      <c r="A138" s="30"/>
      <c r="B138" s="74" t="s">
        <v>643</v>
      </c>
      <c r="C138" s="48"/>
      <c r="D138" s="48"/>
      <c r="E138" s="48" t="s">
        <v>641</v>
      </c>
      <c r="F138" s="52"/>
      <c r="G138" s="52"/>
      <c r="H138" s="50"/>
      <c r="I138" s="50"/>
      <c r="J138" s="52"/>
      <c r="K138" s="52"/>
      <c r="L138" s="52"/>
      <c r="M138" s="52"/>
      <c r="N138" s="52"/>
      <c r="O138" s="52"/>
      <c r="P138" s="53"/>
      <c r="Q138" s="53"/>
      <c r="R138" s="53"/>
      <c r="S138" s="506">
        <v>48650</v>
      </c>
      <c r="T138" s="77">
        <v>48650</v>
      </c>
      <c r="U138" s="518">
        <f t="shared" si="14"/>
        <v>1</v>
      </c>
    </row>
    <row r="139" spans="1:21" ht="25.5" customHeight="1">
      <c r="A139" s="350" t="s">
        <v>32</v>
      </c>
      <c r="B139" s="351" t="s">
        <v>142</v>
      </c>
      <c r="C139" s="344"/>
      <c r="D139" s="344">
        <v>85156</v>
      </c>
      <c r="E139" s="348"/>
      <c r="F139" s="345"/>
      <c r="G139" s="352">
        <v>2010880</v>
      </c>
      <c r="H139" s="346"/>
      <c r="I139" s="347"/>
      <c r="J139" s="348"/>
      <c r="K139" s="348">
        <v>0</v>
      </c>
      <c r="L139" s="348">
        <v>0</v>
      </c>
      <c r="M139" s="348">
        <v>567150</v>
      </c>
      <c r="N139" s="348">
        <v>0</v>
      </c>
      <c r="O139" s="348">
        <v>70165</v>
      </c>
      <c r="P139" s="348">
        <v>363000</v>
      </c>
      <c r="Q139" s="348">
        <v>0</v>
      </c>
      <c r="R139" s="348">
        <v>0</v>
      </c>
      <c r="S139" s="500">
        <f>S140</f>
        <v>519000</v>
      </c>
      <c r="T139" s="348">
        <f>T140</f>
        <v>519000</v>
      </c>
      <c r="U139" s="517">
        <f t="shared" si="14"/>
        <v>1</v>
      </c>
    </row>
    <row r="140" spans="1:21" ht="25.5" customHeight="1">
      <c r="A140" s="55"/>
      <c r="B140" s="74" t="s">
        <v>143</v>
      </c>
      <c r="C140" s="31"/>
      <c r="D140" s="31"/>
      <c r="E140" s="31">
        <v>2110</v>
      </c>
      <c r="F140" s="34"/>
      <c r="G140" s="56"/>
      <c r="H140" s="36"/>
      <c r="I140" s="37"/>
      <c r="J140" s="33"/>
      <c r="K140" s="33"/>
      <c r="L140" s="33"/>
      <c r="M140" s="33"/>
      <c r="N140" s="33"/>
      <c r="O140" s="33"/>
      <c r="P140" s="33"/>
      <c r="Q140" s="33"/>
      <c r="R140" s="33"/>
      <c r="S140" s="502">
        <v>519000</v>
      </c>
      <c r="T140" s="77">
        <v>519000</v>
      </c>
      <c r="U140" s="518">
        <f t="shared" si="14"/>
        <v>1</v>
      </c>
    </row>
    <row r="141" spans="1:21" ht="29.25" customHeight="1">
      <c r="A141" s="20" t="s">
        <v>144</v>
      </c>
      <c r="B141" s="57" t="s">
        <v>145</v>
      </c>
      <c r="C141" s="80">
        <v>852</v>
      </c>
      <c r="D141" s="80"/>
      <c r="E141" s="80"/>
      <c r="F141" s="69"/>
      <c r="G141" s="70"/>
      <c r="H141" s="58"/>
      <c r="I141" s="71"/>
      <c r="J141" s="21"/>
      <c r="K141" s="21"/>
      <c r="L141" s="21"/>
      <c r="M141" s="21"/>
      <c r="N141" s="21"/>
      <c r="O141" s="21"/>
      <c r="P141" s="21"/>
      <c r="Q141" s="21"/>
      <c r="R141" s="21"/>
      <c r="S141" s="499">
        <f>S142+S146+S151+S171+S173+S177+S179</f>
        <v>1449732</v>
      </c>
      <c r="T141" s="21">
        <f>T142+T146+T151+T171+T173+T177+T179</f>
        <v>1450040</v>
      </c>
      <c r="U141" s="516">
        <f t="shared" si="14"/>
        <v>1.0002124530602898</v>
      </c>
    </row>
    <row r="142" spans="1:21" s="54" customFormat="1" ht="26.25" customHeight="1">
      <c r="A142" s="334" t="s">
        <v>25</v>
      </c>
      <c r="B142" s="342" t="s">
        <v>146</v>
      </c>
      <c r="C142" s="336"/>
      <c r="D142" s="336" t="s">
        <v>147</v>
      </c>
      <c r="E142" s="336"/>
      <c r="F142" s="337" t="e">
        <f>#REF!+#REF!+#REF!+#REF!+F144</f>
        <v>#REF!</v>
      </c>
      <c r="G142" s="338" t="e">
        <f>#REF!+#REF!+#REF!+#REF!+G144+#REF!</f>
        <v>#REF!</v>
      </c>
      <c r="H142" s="339" t="e">
        <f>IF(F142&gt;0,G142/F142*100,"")</f>
        <v>#REF!</v>
      </c>
      <c r="I142" s="340" t="e">
        <f>F142/F216</f>
        <v>#REF!</v>
      </c>
      <c r="J142" s="335"/>
      <c r="K142" s="335" t="e">
        <f>#REF!+#REF!+#REF!+#REF!+K144+#REF!</f>
        <v>#REF!</v>
      </c>
      <c r="L142" s="335" t="e">
        <f>#REF!+#REF!+#REF!+#REF!+L144++#REF!</f>
        <v>#REF!</v>
      </c>
      <c r="M142" s="335" t="e">
        <f>#REF!+#REF!+#REF!+#REF!+M144+#REF!</f>
        <v>#REF!</v>
      </c>
      <c r="N142" s="335" t="e">
        <f>#REF!+#REF!+#REF!+#REF!+N144+#REF!</f>
        <v>#REF!</v>
      </c>
      <c r="O142" s="335" t="e">
        <f>#REF!+#REF!+#REF!+#REF!+O144+#REF!</f>
        <v>#REF!</v>
      </c>
      <c r="P142" s="341" t="e">
        <f>#REF!+P144</f>
        <v>#REF!</v>
      </c>
      <c r="Q142" s="341" t="e">
        <f>#REF!+Q144</f>
        <v>#REF!</v>
      </c>
      <c r="R142" s="341" t="e">
        <f>#REF!+R144</f>
        <v>#REF!</v>
      </c>
      <c r="S142" s="503">
        <f>S143+S144+S145</f>
        <v>369001</v>
      </c>
      <c r="T142" s="341">
        <f>T143+T144+T145</f>
        <v>369167</v>
      </c>
      <c r="U142" s="517">
        <f t="shared" si="14"/>
        <v>1.0004498632795034</v>
      </c>
    </row>
    <row r="143" spans="1:21" ht="23.25" customHeight="1">
      <c r="A143" s="39"/>
      <c r="B143" s="74" t="s">
        <v>148</v>
      </c>
      <c r="C143" s="41"/>
      <c r="D143" s="41"/>
      <c r="E143" s="48" t="s">
        <v>149</v>
      </c>
      <c r="F143" s="49"/>
      <c r="G143" s="35"/>
      <c r="H143" s="50"/>
      <c r="I143" s="51"/>
      <c r="J143" s="52"/>
      <c r="K143" s="52"/>
      <c r="L143" s="52"/>
      <c r="M143" s="52"/>
      <c r="N143" s="52"/>
      <c r="O143" s="52"/>
      <c r="P143" s="53"/>
      <c r="Q143" s="53"/>
      <c r="R143" s="53"/>
      <c r="S143" s="506">
        <v>771</v>
      </c>
      <c r="T143" s="77">
        <v>935</v>
      </c>
      <c r="U143" s="518">
        <f t="shared" si="14"/>
        <v>1.212710765239948</v>
      </c>
    </row>
    <row r="144" spans="1:21" ht="14.25" customHeight="1">
      <c r="A144" s="39"/>
      <c r="B144" s="131" t="s">
        <v>30</v>
      </c>
      <c r="C144" s="32"/>
      <c r="D144" s="32"/>
      <c r="E144" s="32" t="s">
        <v>31</v>
      </c>
      <c r="F144" s="34">
        <v>4000</v>
      </c>
      <c r="G144" s="35">
        <v>6000</v>
      </c>
      <c r="H144" s="36">
        <f>IF(F144&gt;0,G144/F144*100,"")</f>
        <v>150</v>
      </c>
      <c r="I144" s="37" t="e">
        <f>F144/F216</f>
        <v>#REF!</v>
      </c>
      <c r="J144" s="33"/>
      <c r="K144" s="33">
        <v>0</v>
      </c>
      <c r="L144" s="33">
        <v>0</v>
      </c>
      <c r="M144" s="33">
        <v>2500</v>
      </c>
      <c r="N144" s="33">
        <v>0</v>
      </c>
      <c r="O144" s="33">
        <v>0</v>
      </c>
      <c r="P144" s="33">
        <v>350</v>
      </c>
      <c r="Q144" s="33">
        <v>0</v>
      </c>
      <c r="R144" s="33">
        <v>0</v>
      </c>
      <c r="S144" s="502">
        <v>132</v>
      </c>
      <c r="T144" s="77">
        <v>134</v>
      </c>
      <c r="U144" s="518">
        <f t="shared" si="14"/>
        <v>1.0151515151515151</v>
      </c>
    </row>
    <row r="145" spans="1:21" s="94" customFormat="1" ht="24.75" customHeight="1">
      <c r="A145" s="39"/>
      <c r="B145" s="74" t="s">
        <v>150</v>
      </c>
      <c r="C145" s="75"/>
      <c r="D145" s="76"/>
      <c r="E145" s="76">
        <v>2320</v>
      </c>
      <c r="F145" s="49"/>
      <c r="G145" s="35"/>
      <c r="H145" s="50"/>
      <c r="I145" s="51"/>
      <c r="J145" s="52"/>
      <c r="K145" s="52"/>
      <c r="L145" s="52"/>
      <c r="M145" s="52"/>
      <c r="N145" s="52"/>
      <c r="O145" s="52"/>
      <c r="P145" s="52"/>
      <c r="Q145" s="52"/>
      <c r="R145" s="52"/>
      <c r="S145" s="507">
        <v>368098</v>
      </c>
      <c r="T145" s="77">
        <v>368098</v>
      </c>
      <c r="U145" s="518">
        <f aca="true" t="shared" si="21" ref="U145:U212">T145/S145</f>
        <v>1</v>
      </c>
    </row>
    <row r="146" spans="1:21" s="54" customFormat="1" ht="15.75" customHeight="1">
      <c r="A146" s="334" t="s">
        <v>32</v>
      </c>
      <c r="B146" s="335" t="s">
        <v>151</v>
      </c>
      <c r="C146" s="336"/>
      <c r="D146" s="336" t="s">
        <v>152</v>
      </c>
      <c r="E146" s="336"/>
      <c r="F146" s="337">
        <f>F147+F148</f>
        <v>159900</v>
      </c>
      <c r="G146" s="338">
        <f>G147+G148</f>
        <v>170000</v>
      </c>
      <c r="H146" s="339">
        <f>IF(F146&gt;0,G146/F146*100,"")</f>
        <v>106.31644777986241</v>
      </c>
      <c r="I146" s="340" t="e">
        <f>F146/F216</f>
        <v>#REF!</v>
      </c>
      <c r="J146" s="335"/>
      <c r="K146" s="335">
        <f>K147+K148</f>
        <v>6500</v>
      </c>
      <c r="L146" s="335">
        <f>L147+L148</f>
        <v>500</v>
      </c>
      <c r="M146" s="335">
        <f>M147+M148</f>
        <v>180500</v>
      </c>
      <c r="N146" s="335">
        <f>N147+N148</f>
        <v>0</v>
      </c>
      <c r="O146" s="335">
        <f>O147+O148</f>
        <v>0</v>
      </c>
      <c r="P146" s="341">
        <f>P147+P148+P149</f>
        <v>182200</v>
      </c>
      <c r="Q146" s="341">
        <f>Q147+Q148+Q149</f>
        <v>0</v>
      </c>
      <c r="R146" s="341">
        <f>R147+R148+R149</f>
        <v>0</v>
      </c>
      <c r="S146" s="503">
        <f>S147+S148+S149+S150</f>
        <v>935868</v>
      </c>
      <c r="T146" s="341">
        <f>T147+T148+T149+T150</f>
        <v>935782</v>
      </c>
      <c r="U146" s="517">
        <f t="shared" si="21"/>
        <v>0.9999081066988079</v>
      </c>
    </row>
    <row r="147" spans="1:21" ht="15.75" customHeight="1">
      <c r="A147" s="55"/>
      <c r="B147" s="131" t="s">
        <v>53</v>
      </c>
      <c r="C147" s="32"/>
      <c r="D147" s="32"/>
      <c r="E147" s="32" t="s">
        <v>54</v>
      </c>
      <c r="F147" s="34">
        <v>159000</v>
      </c>
      <c r="G147" s="56">
        <v>169000</v>
      </c>
      <c r="H147" s="36">
        <f>IF(F147&gt;0,G147/F147*100,"")</f>
        <v>106.28930817610063</v>
      </c>
      <c r="I147" s="37" t="e">
        <f>F147/F216</f>
        <v>#REF!</v>
      </c>
      <c r="J147" s="33"/>
      <c r="K147" s="33">
        <v>6500</v>
      </c>
      <c r="L147" s="33">
        <v>0</v>
      </c>
      <c r="M147" s="33">
        <v>180000</v>
      </c>
      <c r="N147" s="33">
        <v>0</v>
      </c>
      <c r="O147" s="33">
        <v>0</v>
      </c>
      <c r="P147" s="33">
        <v>182000</v>
      </c>
      <c r="Q147" s="33">
        <v>0</v>
      </c>
      <c r="R147" s="33">
        <v>0</v>
      </c>
      <c r="S147" s="502">
        <v>266771</v>
      </c>
      <c r="T147" s="77">
        <v>266771</v>
      </c>
      <c r="U147" s="518">
        <f t="shared" si="21"/>
        <v>1</v>
      </c>
    </row>
    <row r="148" spans="1:21" ht="15" customHeight="1">
      <c r="A148" s="55"/>
      <c r="B148" s="74" t="s">
        <v>30</v>
      </c>
      <c r="C148" s="32"/>
      <c r="D148" s="32"/>
      <c r="E148" s="32" t="s">
        <v>31</v>
      </c>
      <c r="F148" s="34">
        <v>900</v>
      </c>
      <c r="G148" s="56">
        <v>1000</v>
      </c>
      <c r="H148" s="36">
        <f>IF(F148&gt;0,G148/F148*100,"")</f>
        <v>111.11111111111111</v>
      </c>
      <c r="I148" s="36" t="e">
        <f>F148/F216</f>
        <v>#REF!</v>
      </c>
      <c r="J148" s="33"/>
      <c r="K148" s="33">
        <v>0</v>
      </c>
      <c r="L148" s="33">
        <v>500</v>
      </c>
      <c r="M148" s="33">
        <v>500</v>
      </c>
      <c r="N148" s="33">
        <v>0</v>
      </c>
      <c r="O148" s="33">
        <v>0</v>
      </c>
      <c r="P148" s="33">
        <v>50</v>
      </c>
      <c r="Q148" s="33">
        <v>0</v>
      </c>
      <c r="R148" s="33">
        <v>0</v>
      </c>
      <c r="S148" s="502">
        <v>540</v>
      </c>
      <c r="T148" s="77">
        <v>454</v>
      </c>
      <c r="U148" s="518">
        <f t="shared" si="21"/>
        <v>0.8407407407407408</v>
      </c>
    </row>
    <row r="149" spans="1:21" ht="15.75" customHeight="1">
      <c r="A149" s="55"/>
      <c r="B149" s="74" t="s">
        <v>55</v>
      </c>
      <c r="C149" s="32"/>
      <c r="D149" s="32"/>
      <c r="E149" s="32" t="s">
        <v>56</v>
      </c>
      <c r="F149" s="34"/>
      <c r="G149" s="56"/>
      <c r="H149" s="36"/>
      <c r="I149" s="36"/>
      <c r="J149" s="33"/>
      <c r="K149" s="33"/>
      <c r="L149" s="33"/>
      <c r="M149" s="33"/>
      <c r="N149" s="33"/>
      <c r="O149" s="33"/>
      <c r="P149" s="33">
        <v>150</v>
      </c>
      <c r="Q149" s="33">
        <v>0</v>
      </c>
      <c r="R149" s="33">
        <v>0</v>
      </c>
      <c r="S149" s="502">
        <v>2317</v>
      </c>
      <c r="T149" s="77">
        <v>2317</v>
      </c>
      <c r="U149" s="518">
        <f t="shared" si="21"/>
        <v>1</v>
      </c>
    </row>
    <row r="150" spans="1:21" ht="24" customHeight="1">
      <c r="A150" s="55"/>
      <c r="B150" s="74" t="s">
        <v>153</v>
      </c>
      <c r="C150" s="31"/>
      <c r="D150" s="75"/>
      <c r="E150" s="76">
        <v>2130</v>
      </c>
      <c r="F150" s="42" t="e">
        <f>#REF!</f>
        <v>#REF!</v>
      </c>
      <c r="G150" s="43" t="e">
        <f>#REF!</f>
        <v>#REF!</v>
      </c>
      <c r="H150" s="44" t="e">
        <f>IF(F150&gt;0,G150/F150*100,"")</f>
        <v>#REF!</v>
      </c>
      <c r="I150" s="44" t="e">
        <f>F150/F216</f>
        <v>#REF!</v>
      </c>
      <c r="J150" s="40"/>
      <c r="K150" s="40" t="e">
        <f>#REF!</f>
        <v>#REF!</v>
      </c>
      <c r="L150" s="40" t="e">
        <f>#REF!</f>
        <v>#REF!</v>
      </c>
      <c r="M150" s="40" t="e">
        <f>#REF!</f>
        <v>#REF!</v>
      </c>
      <c r="N150" s="40" t="e">
        <f>#REF!</f>
        <v>#REF!</v>
      </c>
      <c r="O150" s="40" t="e">
        <f>#REF!</f>
        <v>#REF!</v>
      </c>
      <c r="P150" s="46" t="e">
        <f>#REF!</f>
        <v>#REF!</v>
      </c>
      <c r="Q150" s="46" t="e">
        <f>#REF!</f>
        <v>#REF!</v>
      </c>
      <c r="R150" s="46" t="e">
        <f>#REF!</f>
        <v>#REF!</v>
      </c>
      <c r="S150" s="506">
        <v>666240</v>
      </c>
      <c r="T150" s="77">
        <v>666240</v>
      </c>
      <c r="U150" s="518">
        <f t="shared" si="21"/>
        <v>1</v>
      </c>
    </row>
    <row r="151" spans="1:21" s="54" customFormat="1" ht="18" customHeight="1">
      <c r="A151" s="334" t="s">
        <v>75</v>
      </c>
      <c r="B151" s="342" t="s">
        <v>154</v>
      </c>
      <c r="C151" s="336"/>
      <c r="D151" s="336" t="s">
        <v>155</v>
      </c>
      <c r="E151" s="336"/>
      <c r="F151" s="337"/>
      <c r="G151" s="338"/>
      <c r="H151" s="339"/>
      <c r="I151" s="339"/>
      <c r="J151" s="335"/>
      <c r="K151" s="335"/>
      <c r="L151" s="335"/>
      <c r="M151" s="335"/>
      <c r="N151" s="335"/>
      <c r="O151" s="335"/>
      <c r="P151" s="335"/>
      <c r="Q151" s="335"/>
      <c r="R151" s="335"/>
      <c r="S151" s="509">
        <f>S152+S170</f>
        <v>32762</v>
      </c>
      <c r="T151" s="335">
        <f>T152+T170</f>
        <v>32850</v>
      </c>
      <c r="U151" s="517">
        <f t="shared" si="21"/>
        <v>1.0026860387033758</v>
      </c>
    </row>
    <row r="152" spans="1:21" ht="24" customHeight="1">
      <c r="A152" s="55"/>
      <c r="B152" s="74" t="s">
        <v>148</v>
      </c>
      <c r="C152" s="32"/>
      <c r="D152" s="32"/>
      <c r="E152" s="32" t="s">
        <v>149</v>
      </c>
      <c r="F152" s="34"/>
      <c r="G152" s="56"/>
      <c r="H152" s="36"/>
      <c r="I152" s="36"/>
      <c r="J152" s="33"/>
      <c r="K152" s="33"/>
      <c r="L152" s="33"/>
      <c r="M152" s="33"/>
      <c r="N152" s="33"/>
      <c r="O152" s="33"/>
      <c r="P152" s="33"/>
      <c r="Q152" s="33"/>
      <c r="R152" s="33"/>
      <c r="S152" s="502">
        <v>1694</v>
      </c>
      <c r="T152" s="77">
        <v>1782</v>
      </c>
      <c r="U152" s="518">
        <f t="shared" si="21"/>
        <v>1.051948051948052</v>
      </c>
    </row>
    <row r="153" spans="1:21" ht="24" customHeight="1" hidden="1">
      <c r="A153" s="39" t="s">
        <v>112</v>
      </c>
      <c r="B153" s="202" t="s">
        <v>156</v>
      </c>
      <c r="C153" s="41"/>
      <c r="D153" s="41" t="s">
        <v>157</v>
      </c>
      <c r="E153" s="41"/>
      <c r="F153" s="40" t="e">
        <f>#REF!+F154+#REF!</f>
        <v>#REF!</v>
      </c>
      <c r="G153" s="40" t="e">
        <f>#REF!+G154+#REF!</f>
        <v>#REF!</v>
      </c>
      <c r="H153" s="44" t="e">
        <f>IF(F153&gt;0,G153/F153*100,"")</f>
        <v>#REF!</v>
      </c>
      <c r="I153" s="44" t="e">
        <f>F153/F216</f>
        <v>#REF!</v>
      </c>
      <c r="J153" s="40"/>
      <c r="K153" s="40" t="e">
        <f>#REF!+K154+#REF!</f>
        <v>#REF!</v>
      </c>
      <c r="L153" s="40" t="e">
        <f>#REF!+L154+#REF!</f>
        <v>#REF!</v>
      </c>
      <c r="M153" s="40" t="e">
        <f>#REF!+M154+#REF!</f>
        <v>#REF!</v>
      </c>
      <c r="N153" s="40" t="e">
        <f>#REF!+N154+#REF!</f>
        <v>#REF!</v>
      </c>
      <c r="O153" s="40" t="e">
        <f>#REF!+O154+#REF!</f>
        <v>#REF!</v>
      </c>
      <c r="P153" s="46">
        <f>P154</f>
        <v>500</v>
      </c>
      <c r="Q153" s="46">
        <f>Q154</f>
        <v>0</v>
      </c>
      <c r="R153" s="46">
        <f>R154</f>
        <v>0</v>
      </c>
      <c r="S153" s="501">
        <f>S154</f>
        <v>0</v>
      </c>
      <c r="T153" s="77">
        <f aca="true" t="shared" si="22" ref="T153:T163">T154+T158+T160</f>
        <v>29577486</v>
      </c>
      <c r="U153" s="518" t="e">
        <f t="shared" si="21"/>
        <v>#DIV/0!</v>
      </c>
    </row>
    <row r="154" spans="1:21" ht="0.75" customHeight="1" hidden="1">
      <c r="A154" s="55"/>
      <c r="B154" s="140" t="s">
        <v>30</v>
      </c>
      <c r="C154" s="32"/>
      <c r="D154" s="32"/>
      <c r="E154" s="32" t="s">
        <v>31</v>
      </c>
      <c r="F154" s="33">
        <v>6500</v>
      </c>
      <c r="G154" s="33">
        <v>4200</v>
      </c>
      <c r="H154" s="36">
        <f>IF(F154&gt;0,G154/F154*100,"")</f>
        <v>64.61538461538461</v>
      </c>
      <c r="I154" s="36" t="e">
        <f>F154/F216</f>
        <v>#REF!</v>
      </c>
      <c r="J154" s="33"/>
      <c r="K154" s="33">
        <v>0</v>
      </c>
      <c r="L154" s="33">
        <v>0</v>
      </c>
      <c r="M154" s="33">
        <v>650</v>
      </c>
      <c r="N154" s="33">
        <v>0</v>
      </c>
      <c r="O154" s="33">
        <v>0</v>
      </c>
      <c r="P154" s="33">
        <v>500</v>
      </c>
      <c r="Q154" s="33">
        <v>0</v>
      </c>
      <c r="R154" s="33">
        <v>0</v>
      </c>
      <c r="S154" s="502">
        <v>0</v>
      </c>
      <c r="T154" s="77">
        <f t="shared" si="22"/>
        <v>21126383</v>
      </c>
      <c r="U154" s="518" t="e">
        <f t="shared" si="21"/>
        <v>#DIV/0!</v>
      </c>
    </row>
    <row r="155" spans="1:21" ht="18.75" customHeight="1" hidden="1">
      <c r="A155" s="39" t="s">
        <v>134</v>
      </c>
      <c r="B155" s="129" t="s">
        <v>158</v>
      </c>
      <c r="C155" s="41"/>
      <c r="D155" s="41" t="s">
        <v>159</v>
      </c>
      <c r="E155" s="41"/>
      <c r="F155" s="40"/>
      <c r="G155" s="40"/>
      <c r="H155" s="44"/>
      <c r="I155" s="44"/>
      <c r="J155" s="40"/>
      <c r="K155" s="40"/>
      <c r="L155" s="40"/>
      <c r="M155" s="40"/>
      <c r="N155" s="40"/>
      <c r="O155" s="40"/>
      <c r="P155" s="40"/>
      <c r="Q155" s="40"/>
      <c r="R155" s="40"/>
      <c r="S155" s="510" t="e">
        <f>S156+S160+S164+S166+S168+#REF!</f>
        <v>#REF!</v>
      </c>
      <c r="T155" s="77">
        <f t="shared" si="22"/>
        <v>14936005</v>
      </c>
      <c r="U155" s="518" t="e">
        <f t="shared" si="21"/>
        <v>#REF!</v>
      </c>
    </row>
    <row r="156" spans="1:21" ht="30.75" customHeight="1" hidden="1">
      <c r="A156" s="39" t="s">
        <v>25</v>
      </c>
      <c r="B156" s="137" t="s">
        <v>146</v>
      </c>
      <c r="C156" s="41"/>
      <c r="D156" s="41" t="s">
        <v>160</v>
      </c>
      <c r="E156" s="41"/>
      <c r="F156" s="42" t="e">
        <f>#REF!+F158+#REF!+#REF!+F159</f>
        <v>#REF!</v>
      </c>
      <c r="G156" s="43" t="e">
        <f>#REF!+G158+#REF!+#REF!+G159+#REF!</f>
        <v>#REF!</v>
      </c>
      <c r="H156" s="44" t="e">
        <f>IF(F156&gt;0,G156/F156*100,"")</f>
        <v>#REF!</v>
      </c>
      <c r="I156" s="45" t="e">
        <f>F156/F231</f>
        <v>#REF!</v>
      </c>
      <c r="J156" s="40"/>
      <c r="K156" s="40" t="e">
        <f>#REF!+K158+#REF!+#REF!+K159+#REF!</f>
        <v>#REF!</v>
      </c>
      <c r="L156" s="40" t="e">
        <f>#REF!+L158+#REF!+#REF!+L159++#REF!</f>
        <v>#REF!</v>
      </c>
      <c r="M156" s="40" t="e">
        <f>#REF!+M158+#REF!+#REF!+M159+#REF!</f>
        <v>#REF!</v>
      </c>
      <c r="N156" s="40" t="e">
        <f>#REF!+N158+#REF!+#REF!+N159+#REF!</f>
        <v>#REF!</v>
      </c>
      <c r="O156" s="40" t="e">
        <f>#REF!+O158+#REF!+#REF!+O159+#REF!</f>
        <v>#REF!</v>
      </c>
      <c r="P156" s="46">
        <f>P158+P159</f>
        <v>6850</v>
      </c>
      <c r="Q156" s="46">
        <f>Q158+Q159</f>
        <v>0</v>
      </c>
      <c r="R156" s="46">
        <f>R158+R159</f>
        <v>0</v>
      </c>
      <c r="S156" s="501">
        <f>S158+S159+S157</f>
        <v>0</v>
      </c>
      <c r="T156" s="77">
        <f t="shared" si="22"/>
        <v>10557021</v>
      </c>
      <c r="U156" s="518" t="e">
        <f t="shared" si="21"/>
        <v>#DIV/0!</v>
      </c>
    </row>
    <row r="157" spans="1:21" ht="18.75" customHeight="1" hidden="1">
      <c r="A157" s="39"/>
      <c r="B157" s="131" t="s">
        <v>35</v>
      </c>
      <c r="C157" s="41"/>
      <c r="D157" s="41"/>
      <c r="E157" s="48" t="s">
        <v>126</v>
      </c>
      <c r="F157" s="49"/>
      <c r="G157" s="35"/>
      <c r="H157" s="50"/>
      <c r="I157" s="51"/>
      <c r="J157" s="52"/>
      <c r="K157" s="52"/>
      <c r="L157" s="52"/>
      <c r="M157" s="52"/>
      <c r="N157" s="52"/>
      <c r="O157" s="52"/>
      <c r="P157" s="53"/>
      <c r="Q157" s="53"/>
      <c r="R157" s="53"/>
      <c r="S157" s="506">
        <v>0</v>
      </c>
      <c r="T157" s="77">
        <f t="shared" si="22"/>
        <v>7516328</v>
      </c>
      <c r="U157" s="518" t="e">
        <f t="shared" si="21"/>
        <v>#DIV/0!</v>
      </c>
    </row>
    <row r="158" spans="1:21" ht="38.25" customHeight="1" hidden="1">
      <c r="A158" s="39"/>
      <c r="B158" s="74" t="s">
        <v>127</v>
      </c>
      <c r="C158" s="32"/>
      <c r="D158" s="32"/>
      <c r="E158" s="32" t="s">
        <v>52</v>
      </c>
      <c r="F158" s="34">
        <v>2740</v>
      </c>
      <c r="G158" s="35">
        <v>4713</v>
      </c>
      <c r="H158" s="36">
        <f>IF(F158&gt;0,G158/F158*100,"")</f>
        <v>172.007299270073</v>
      </c>
      <c r="I158" s="37" t="e">
        <f>F158/F231</f>
        <v>#DIV/0!</v>
      </c>
      <c r="J158" s="33"/>
      <c r="K158" s="33">
        <v>0</v>
      </c>
      <c r="L158" s="33">
        <v>0</v>
      </c>
      <c r="M158" s="33">
        <v>6500</v>
      </c>
      <c r="N158" s="33">
        <v>0</v>
      </c>
      <c r="O158" s="33">
        <v>0</v>
      </c>
      <c r="P158" s="33">
        <v>6500</v>
      </c>
      <c r="Q158" s="33">
        <v>0</v>
      </c>
      <c r="R158" s="33">
        <v>0</v>
      </c>
      <c r="S158" s="502">
        <v>0</v>
      </c>
      <c r="T158" s="77">
        <f t="shared" si="22"/>
        <v>5478330</v>
      </c>
      <c r="U158" s="518" t="e">
        <f t="shared" si="21"/>
        <v>#DIV/0!</v>
      </c>
    </row>
    <row r="159" spans="1:21" ht="18.75" customHeight="1" hidden="1">
      <c r="A159" s="39"/>
      <c r="B159" s="131" t="s">
        <v>30</v>
      </c>
      <c r="C159" s="32"/>
      <c r="D159" s="32"/>
      <c r="E159" s="32" t="s">
        <v>31</v>
      </c>
      <c r="F159" s="34">
        <v>4000</v>
      </c>
      <c r="G159" s="35">
        <v>6000</v>
      </c>
      <c r="H159" s="36">
        <f>IF(F159&gt;0,G159/F159*100,"")</f>
        <v>150</v>
      </c>
      <c r="I159" s="37" t="e">
        <f>F159/F231</f>
        <v>#DIV/0!</v>
      </c>
      <c r="J159" s="33"/>
      <c r="K159" s="33">
        <v>0</v>
      </c>
      <c r="L159" s="33">
        <v>0</v>
      </c>
      <c r="M159" s="33">
        <v>2500</v>
      </c>
      <c r="N159" s="33">
        <v>0</v>
      </c>
      <c r="O159" s="33">
        <v>0</v>
      </c>
      <c r="P159" s="33">
        <v>350</v>
      </c>
      <c r="Q159" s="33">
        <v>0</v>
      </c>
      <c r="R159" s="33">
        <v>0</v>
      </c>
      <c r="S159" s="502">
        <v>0</v>
      </c>
      <c r="T159" s="77">
        <f t="shared" si="22"/>
        <v>4067089</v>
      </c>
      <c r="U159" s="518" t="e">
        <f t="shared" si="21"/>
        <v>#DIV/0!</v>
      </c>
    </row>
    <row r="160" spans="1:21" ht="18.75" customHeight="1" hidden="1">
      <c r="A160" s="39" t="s">
        <v>32</v>
      </c>
      <c r="B160" s="138" t="s">
        <v>151</v>
      </c>
      <c r="C160" s="41"/>
      <c r="D160" s="41" t="s">
        <v>161</v>
      </c>
      <c r="E160" s="41"/>
      <c r="F160" s="42">
        <f>F161+F162</f>
        <v>159900</v>
      </c>
      <c r="G160" s="43">
        <f>G161+G162</f>
        <v>170000</v>
      </c>
      <c r="H160" s="44">
        <f>IF(F160&gt;0,G160/F160*100,"")</f>
        <v>106.31644777986241</v>
      </c>
      <c r="I160" s="45" t="e">
        <f>F160/F231</f>
        <v>#DIV/0!</v>
      </c>
      <c r="J160" s="40"/>
      <c r="K160" s="40">
        <f>K161+K162</f>
        <v>6500</v>
      </c>
      <c r="L160" s="40">
        <f>L161+L162</f>
        <v>500</v>
      </c>
      <c r="M160" s="40">
        <f>M161+M162</f>
        <v>180500</v>
      </c>
      <c r="N160" s="40">
        <f>N161+N162</f>
        <v>0</v>
      </c>
      <c r="O160" s="40">
        <f>O161+O162</f>
        <v>0</v>
      </c>
      <c r="P160" s="46">
        <f>P161+P162+P163</f>
        <v>182200</v>
      </c>
      <c r="Q160" s="46">
        <f>Q161+Q162+Q163</f>
        <v>0</v>
      </c>
      <c r="R160" s="46">
        <f>R161+R162+R163</f>
        <v>0</v>
      </c>
      <c r="S160" s="501">
        <f>S161+S162+S163</f>
        <v>0</v>
      </c>
      <c r="T160" s="77">
        <f t="shared" si="22"/>
        <v>2972773</v>
      </c>
      <c r="U160" s="518" t="e">
        <f t="shared" si="21"/>
        <v>#DIV/0!</v>
      </c>
    </row>
    <row r="161" spans="1:21" ht="18.75" customHeight="1" hidden="1">
      <c r="A161" s="55"/>
      <c r="B161" s="131" t="s">
        <v>53</v>
      </c>
      <c r="C161" s="32"/>
      <c r="D161" s="32"/>
      <c r="E161" s="32" t="s">
        <v>54</v>
      </c>
      <c r="F161" s="34">
        <v>159000</v>
      </c>
      <c r="G161" s="56">
        <v>169000</v>
      </c>
      <c r="H161" s="36">
        <f>IF(F161&gt;0,G161/F161*100,"")</f>
        <v>106.28930817610063</v>
      </c>
      <c r="I161" s="37" t="e">
        <f>F161/F231</f>
        <v>#DIV/0!</v>
      </c>
      <c r="J161" s="33"/>
      <c r="K161" s="33">
        <v>6500</v>
      </c>
      <c r="L161" s="33">
        <v>0</v>
      </c>
      <c r="M161" s="33">
        <v>180000</v>
      </c>
      <c r="N161" s="33">
        <v>0</v>
      </c>
      <c r="O161" s="33">
        <v>0</v>
      </c>
      <c r="P161" s="33">
        <v>182000</v>
      </c>
      <c r="Q161" s="33">
        <v>0</v>
      </c>
      <c r="R161" s="33">
        <v>0</v>
      </c>
      <c r="S161" s="502">
        <v>0</v>
      </c>
      <c r="T161" s="77">
        <f t="shared" si="22"/>
        <v>2123289</v>
      </c>
      <c r="U161" s="518" t="e">
        <f t="shared" si="21"/>
        <v>#DIV/0!</v>
      </c>
    </row>
    <row r="162" spans="1:21" ht="18.75" customHeight="1" hidden="1">
      <c r="A162" s="55"/>
      <c r="B162" s="74" t="s">
        <v>30</v>
      </c>
      <c r="C162" s="32"/>
      <c r="D162" s="32"/>
      <c r="E162" s="32" t="s">
        <v>31</v>
      </c>
      <c r="F162" s="34">
        <v>900</v>
      </c>
      <c r="G162" s="56">
        <v>1000</v>
      </c>
      <c r="H162" s="36">
        <f>IF(F162&gt;0,G162/F162*100,"")</f>
        <v>111.11111111111111</v>
      </c>
      <c r="I162" s="36" t="e">
        <f>F162/F231</f>
        <v>#DIV/0!</v>
      </c>
      <c r="J162" s="33"/>
      <c r="K162" s="33">
        <v>0</v>
      </c>
      <c r="L162" s="33">
        <v>500</v>
      </c>
      <c r="M162" s="33">
        <v>500</v>
      </c>
      <c r="N162" s="33">
        <v>0</v>
      </c>
      <c r="O162" s="33">
        <v>0</v>
      </c>
      <c r="P162" s="33">
        <v>50</v>
      </c>
      <c r="Q162" s="33">
        <v>0</v>
      </c>
      <c r="R162" s="33">
        <v>0</v>
      </c>
      <c r="S162" s="502">
        <v>0</v>
      </c>
      <c r="T162" s="77">
        <f t="shared" si="22"/>
        <v>1406211</v>
      </c>
      <c r="U162" s="518" t="e">
        <f t="shared" si="21"/>
        <v>#DIV/0!</v>
      </c>
    </row>
    <row r="163" spans="1:21" ht="18.75" customHeight="1" hidden="1">
      <c r="A163" s="55"/>
      <c r="B163" s="74" t="s">
        <v>55</v>
      </c>
      <c r="C163" s="32"/>
      <c r="D163" s="32"/>
      <c r="E163" s="32" t="s">
        <v>56</v>
      </c>
      <c r="F163" s="34"/>
      <c r="G163" s="56"/>
      <c r="H163" s="36"/>
      <c r="I163" s="36"/>
      <c r="J163" s="33"/>
      <c r="K163" s="33"/>
      <c r="L163" s="33"/>
      <c r="M163" s="33"/>
      <c r="N163" s="33"/>
      <c r="O163" s="33"/>
      <c r="P163" s="33">
        <v>150</v>
      </c>
      <c r="Q163" s="33">
        <v>0</v>
      </c>
      <c r="R163" s="33">
        <v>0</v>
      </c>
      <c r="S163" s="502">
        <v>0</v>
      </c>
      <c r="T163" s="77">
        <f t="shared" si="22"/>
        <v>917404</v>
      </c>
      <c r="U163" s="518" t="e">
        <f t="shared" si="21"/>
        <v>#DIV/0!</v>
      </c>
    </row>
    <row r="164" spans="1:21" ht="18.75" customHeight="1" hidden="1">
      <c r="A164" s="39" t="s">
        <v>75</v>
      </c>
      <c r="B164" s="137" t="s">
        <v>154</v>
      </c>
      <c r="C164" s="41"/>
      <c r="D164" s="41" t="s">
        <v>162</v>
      </c>
      <c r="E164" s="41"/>
      <c r="F164" s="42"/>
      <c r="G164" s="43"/>
      <c r="H164" s="44"/>
      <c r="I164" s="44"/>
      <c r="J164" s="40"/>
      <c r="K164" s="40"/>
      <c r="L164" s="40"/>
      <c r="M164" s="40"/>
      <c r="N164" s="40"/>
      <c r="O164" s="40"/>
      <c r="P164" s="40"/>
      <c r="Q164" s="40"/>
      <c r="R164" s="40"/>
      <c r="S164" s="510">
        <f>S165</f>
        <v>0</v>
      </c>
      <c r="T164" s="77">
        <f>T165+T169+T173</f>
        <v>631787</v>
      </c>
      <c r="U164" s="518" t="e">
        <f t="shared" si="21"/>
        <v>#DIV/0!</v>
      </c>
    </row>
    <row r="165" spans="1:21" ht="18.75" customHeight="1" hidden="1">
      <c r="A165" s="55"/>
      <c r="B165" s="131" t="s">
        <v>35</v>
      </c>
      <c r="C165" s="32"/>
      <c r="D165" s="32"/>
      <c r="E165" s="32" t="s">
        <v>126</v>
      </c>
      <c r="F165" s="34"/>
      <c r="G165" s="56"/>
      <c r="H165" s="36"/>
      <c r="I165" s="36"/>
      <c r="J165" s="33"/>
      <c r="K165" s="33"/>
      <c r="L165" s="33"/>
      <c r="M165" s="33"/>
      <c r="N165" s="33"/>
      <c r="O165" s="33"/>
      <c r="P165" s="33"/>
      <c r="Q165" s="33"/>
      <c r="R165" s="33"/>
      <c r="S165" s="502">
        <v>0</v>
      </c>
      <c r="T165" s="77">
        <f>T166+T170+T174</f>
        <v>493837</v>
      </c>
      <c r="U165" s="518" t="e">
        <f t="shared" si="21"/>
        <v>#DIV/0!</v>
      </c>
    </row>
    <row r="166" spans="1:21" ht="27" customHeight="1" hidden="1">
      <c r="A166" s="39" t="s">
        <v>75</v>
      </c>
      <c r="B166" s="202" t="s">
        <v>156</v>
      </c>
      <c r="C166" s="41"/>
      <c r="D166" s="41" t="s">
        <v>163</v>
      </c>
      <c r="E166" s="41"/>
      <c r="F166" s="40" t="e">
        <f>#REF!+F167+#REF!</f>
        <v>#REF!</v>
      </c>
      <c r="G166" s="40" t="e">
        <f>#REF!+G167+#REF!</f>
        <v>#REF!</v>
      </c>
      <c r="H166" s="44" t="e">
        <f>IF(F166&gt;0,G166/F166*100,"")</f>
        <v>#REF!</v>
      </c>
      <c r="I166" s="44" t="e">
        <f>F166/F231</f>
        <v>#REF!</v>
      </c>
      <c r="J166" s="40"/>
      <c r="K166" s="40" t="e">
        <f>#REF!+K167+#REF!</f>
        <v>#REF!</v>
      </c>
      <c r="L166" s="40" t="e">
        <f>#REF!+L167+#REF!</f>
        <v>#REF!</v>
      </c>
      <c r="M166" s="40" t="e">
        <f>#REF!+M167+#REF!</f>
        <v>#REF!</v>
      </c>
      <c r="N166" s="40" t="e">
        <f>#REF!+N167+#REF!</f>
        <v>#REF!</v>
      </c>
      <c r="O166" s="40" t="e">
        <f>#REF!+O167+#REF!</f>
        <v>#REF!</v>
      </c>
      <c r="P166" s="46">
        <f>P167</f>
        <v>500</v>
      </c>
      <c r="Q166" s="46">
        <f>Q167</f>
        <v>0</v>
      </c>
      <c r="R166" s="46">
        <f>R167</f>
        <v>0</v>
      </c>
      <c r="S166" s="501">
        <f>S167</f>
        <v>0</v>
      </c>
      <c r="T166" s="77">
        <f>T167+T173+T181</f>
        <v>462529</v>
      </c>
      <c r="U166" s="518" t="e">
        <f t="shared" si="21"/>
        <v>#DIV/0!</v>
      </c>
    </row>
    <row r="167" spans="1:21" ht="21" customHeight="1" hidden="1">
      <c r="A167" s="55"/>
      <c r="B167" s="140" t="s">
        <v>30</v>
      </c>
      <c r="C167" s="32"/>
      <c r="D167" s="32"/>
      <c r="E167" s="32" t="s">
        <v>31</v>
      </c>
      <c r="F167" s="33">
        <v>6500</v>
      </c>
      <c r="G167" s="33">
        <v>4200</v>
      </c>
      <c r="H167" s="36">
        <f>IF(F167&gt;0,G167/F167*100,"")</f>
        <v>64.61538461538461</v>
      </c>
      <c r="I167" s="36" t="e">
        <f>F167/F231</f>
        <v>#DIV/0!</v>
      </c>
      <c r="J167" s="33"/>
      <c r="K167" s="33">
        <v>0</v>
      </c>
      <c r="L167" s="33">
        <v>0</v>
      </c>
      <c r="M167" s="33">
        <v>650</v>
      </c>
      <c r="N167" s="33">
        <v>0</v>
      </c>
      <c r="O167" s="33">
        <v>0</v>
      </c>
      <c r="P167" s="33">
        <v>500</v>
      </c>
      <c r="Q167" s="33">
        <v>0</v>
      </c>
      <c r="R167" s="33">
        <v>0</v>
      </c>
      <c r="S167" s="502">
        <v>0</v>
      </c>
      <c r="T167" s="77">
        <f>T168+T174+T182</f>
        <v>355647</v>
      </c>
      <c r="U167" s="518" t="e">
        <f t="shared" si="21"/>
        <v>#DIV/0!</v>
      </c>
    </row>
    <row r="168" spans="1:21" ht="16.5" customHeight="1" hidden="1">
      <c r="A168" s="39" t="s">
        <v>112</v>
      </c>
      <c r="B168" s="137" t="s">
        <v>164</v>
      </c>
      <c r="C168" s="41"/>
      <c r="D168" s="41" t="s">
        <v>165</v>
      </c>
      <c r="E168" s="41"/>
      <c r="F168" s="40">
        <f>F169</f>
        <v>19873</v>
      </c>
      <c r="G168" s="40">
        <f>G169</f>
        <v>20000</v>
      </c>
      <c r="H168" s="44">
        <f>G168/F168*100</f>
        <v>100.63905801841695</v>
      </c>
      <c r="I168" s="44" t="e">
        <f>F168/F216</f>
        <v>#REF!</v>
      </c>
      <c r="J168" s="40"/>
      <c r="K168" s="40">
        <f aca="true" t="shared" si="23" ref="K168:S168">K169</f>
        <v>0</v>
      </c>
      <c r="L168" s="40">
        <f t="shared" si="23"/>
        <v>0</v>
      </c>
      <c r="M168" s="40">
        <f t="shared" si="23"/>
        <v>12412</v>
      </c>
      <c r="N168" s="40">
        <f t="shared" si="23"/>
        <v>0</v>
      </c>
      <c r="O168" s="40">
        <f t="shared" si="23"/>
        <v>0</v>
      </c>
      <c r="P168" s="46">
        <f t="shared" si="23"/>
        <v>12412</v>
      </c>
      <c r="Q168" s="46">
        <f t="shared" si="23"/>
        <v>0</v>
      </c>
      <c r="R168" s="46">
        <f t="shared" si="23"/>
        <v>0</v>
      </c>
      <c r="S168" s="501">
        <f t="shared" si="23"/>
        <v>0</v>
      </c>
      <c r="T168" s="77">
        <f>T169+T181+T183</f>
        <v>254549</v>
      </c>
      <c r="U168" s="518" t="e">
        <f t="shared" si="21"/>
        <v>#DIV/0!</v>
      </c>
    </row>
    <row r="169" spans="1:21" ht="16.5" customHeight="1" hidden="1">
      <c r="A169" s="55"/>
      <c r="B169" s="74" t="s">
        <v>55</v>
      </c>
      <c r="C169" s="32"/>
      <c r="D169" s="32"/>
      <c r="E169" s="32" t="s">
        <v>56</v>
      </c>
      <c r="F169" s="33">
        <v>19873</v>
      </c>
      <c r="G169" s="33">
        <v>20000</v>
      </c>
      <c r="H169" s="36">
        <f>G169/F169*100</f>
        <v>100.63905801841695</v>
      </c>
      <c r="I169" s="36" t="e">
        <f>F169/F216</f>
        <v>#REF!</v>
      </c>
      <c r="J169" s="33"/>
      <c r="K169" s="33">
        <v>0</v>
      </c>
      <c r="L169" s="33">
        <v>0</v>
      </c>
      <c r="M169" s="33">
        <v>12412</v>
      </c>
      <c r="N169" s="33">
        <v>0</v>
      </c>
      <c r="O169" s="33">
        <v>0</v>
      </c>
      <c r="P169" s="33">
        <v>12412</v>
      </c>
      <c r="Q169" s="33">
        <v>0</v>
      </c>
      <c r="R169" s="33">
        <v>0</v>
      </c>
      <c r="S169" s="502">
        <v>0</v>
      </c>
      <c r="T169" s="77">
        <f>T170+T182+T186</f>
        <v>133160</v>
      </c>
      <c r="U169" s="518" t="e">
        <f t="shared" si="21"/>
        <v>#DIV/0!</v>
      </c>
    </row>
    <row r="170" spans="1:21" ht="24.75" customHeight="1">
      <c r="A170" s="55"/>
      <c r="B170" s="74" t="s">
        <v>150</v>
      </c>
      <c r="C170" s="32"/>
      <c r="D170" s="32"/>
      <c r="E170" s="32" t="s">
        <v>166</v>
      </c>
      <c r="F170" s="33"/>
      <c r="G170" s="33"/>
      <c r="H170" s="36"/>
      <c r="I170" s="36"/>
      <c r="J170" s="33"/>
      <c r="K170" s="33"/>
      <c r="L170" s="33"/>
      <c r="M170" s="33"/>
      <c r="N170" s="33"/>
      <c r="O170" s="33"/>
      <c r="P170" s="33"/>
      <c r="Q170" s="33"/>
      <c r="R170" s="33"/>
      <c r="S170" s="502">
        <v>31068</v>
      </c>
      <c r="T170" s="77">
        <v>31068</v>
      </c>
      <c r="U170" s="518">
        <f t="shared" si="21"/>
        <v>1</v>
      </c>
    </row>
    <row r="171" spans="1:21" ht="36.75" customHeight="1">
      <c r="A171" s="350" t="s">
        <v>112</v>
      </c>
      <c r="B171" s="342" t="s">
        <v>644</v>
      </c>
      <c r="C171" s="343"/>
      <c r="D171" s="343" t="s">
        <v>411</v>
      </c>
      <c r="E171" s="343"/>
      <c r="F171" s="348"/>
      <c r="G171" s="348"/>
      <c r="H171" s="346"/>
      <c r="I171" s="346"/>
      <c r="J171" s="348"/>
      <c r="K171" s="348"/>
      <c r="L171" s="348"/>
      <c r="M171" s="348"/>
      <c r="N171" s="348"/>
      <c r="O171" s="348"/>
      <c r="P171" s="348"/>
      <c r="Q171" s="348"/>
      <c r="R171" s="348"/>
      <c r="S171" s="500">
        <f>S172</f>
        <v>9381</v>
      </c>
      <c r="T171" s="348">
        <f>T172</f>
        <v>9381</v>
      </c>
      <c r="U171" s="517">
        <f t="shared" si="21"/>
        <v>1</v>
      </c>
    </row>
    <row r="172" spans="1:21" ht="24.75" customHeight="1">
      <c r="A172" s="55"/>
      <c r="B172" s="74" t="s">
        <v>143</v>
      </c>
      <c r="C172" s="32"/>
      <c r="D172" s="32"/>
      <c r="E172" s="32" t="s">
        <v>475</v>
      </c>
      <c r="F172" s="33"/>
      <c r="G172" s="33"/>
      <c r="H172" s="36"/>
      <c r="I172" s="36"/>
      <c r="J172" s="33"/>
      <c r="K172" s="33"/>
      <c r="L172" s="33"/>
      <c r="M172" s="33"/>
      <c r="N172" s="33"/>
      <c r="O172" s="33"/>
      <c r="P172" s="33"/>
      <c r="Q172" s="33"/>
      <c r="R172" s="33"/>
      <c r="S172" s="502">
        <v>9381</v>
      </c>
      <c r="T172" s="77">
        <v>9381</v>
      </c>
      <c r="U172" s="518">
        <f t="shared" si="21"/>
        <v>1</v>
      </c>
    </row>
    <row r="173" spans="1:21" s="54" customFormat="1" ht="16.5" customHeight="1">
      <c r="A173" s="334" t="s">
        <v>631</v>
      </c>
      <c r="B173" s="342" t="s">
        <v>167</v>
      </c>
      <c r="C173" s="336"/>
      <c r="D173" s="336" t="s">
        <v>157</v>
      </c>
      <c r="E173" s="336"/>
      <c r="F173" s="335"/>
      <c r="G173" s="335"/>
      <c r="H173" s="339"/>
      <c r="I173" s="339"/>
      <c r="J173" s="335"/>
      <c r="K173" s="335"/>
      <c r="L173" s="335"/>
      <c r="M173" s="335"/>
      <c r="N173" s="335"/>
      <c r="O173" s="335"/>
      <c r="P173" s="335"/>
      <c r="Q173" s="335"/>
      <c r="R173" s="335"/>
      <c r="S173" s="509">
        <f>S174+S175+S176</f>
        <v>4650</v>
      </c>
      <c r="T173" s="335">
        <f>T174+T175+T176</f>
        <v>4790</v>
      </c>
      <c r="U173" s="517">
        <f t="shared" si="21"/>
        <v>1.0301075268817204</v>
      </c>
    </row>
    <row r="174" spans="1:21" ht="15.75" customHeight="1">
      <c r="A174" s="55"/>
      <c r="B174" s="74" t="s">
        <v>30</v>
      </c>
      <c r="C174" s="32"/>
      <c r="D174" s="32"/>
      <c r="E174" s="32" t="s">
        <v>31</v>
      </c>
      <c r="F174" s="33"/>
      <c r="G174" s="33"/>
      <c r="H174" s="36"/>
      <c r="I174" s="36"/>
      <c r="J174" s="33"/>
      <c r="K174" s="33"/>
      <c r="L174" s="33"/>
      <c r="M174" s="33"/>
      <c r="N174" s="33"/>
      <c r="O174" s="33"/>
      <c r="P174" s="33"/>
      <c r="Q174" s="33"/>
      <c r="R174" s="33"/>
      <c r="S174" s="502">
        <v>100</v>
      </c>
      <c r="T174" s="77">
        <v>240</v>
      </c>
      <c r="U174" s="518">
        <f t="shared" si="21"/>
        <v>2.4</v>
      </c>
    </row>
    <row r="175" spans="1:21" ht="15.75" customHeight="1">
      <c r="A175" s="55"/>
      <c r="B175" s="74" t="s">
        <v>55</v>
      </c>
      <c r="C175" s="32"/>
      <c r="D175" s="32"/>
      <c r="E175" s="32" t="s">
        <v>56</v>
      </c>
      <c r="F175" s="33"/>
      <c r="G175" s="33"/>
      <c r="H175" s="36"/>
      <c r="I175" s="36"/>
      <c r="J175" s="33"/>
      <c r="K175" s="33"/>
      <c r="L175" s="33"/>
      <c r="M175" s="33"/>
      <c r="N175" s="33"/>
      <c r="O175" s="33"/>
      <c r="P175" s="33"/>
      <c r="Q175" s="33"/>
      <c r="R175" s="33"/>
      <c r="S175" s="502">
        <v>496</v>
      </c>
      <c r="T175" s="77">
        <v>496</v>
      </c>
      <c r="U175" s="518">
        <f t="shared" si="21"/>
        <v>1</v>
      </c>
    </row>
    <row r="176" spans="1:21" ht="24.75" customHeight="1">
      <c r="A176" s="55"/>
      <c r="B176" s="74" t="s">
        <v>646</v>
      </c>
      <c r="C176" s="32"/>
      <c r="D176" s="32"/>
      <c r="E176" s="32" t="s">
        <v>645</v>
      </c>
      <c r="F176" s="33"/>
      <c r="G176" s="33"/>
      <c r="H176" s="36"/>
      <c r="I176" s="36"/>
      <c r="J176" s="33"/>
      <c r="K176" s="33"/>
      <c r="L176" s="33"/>
      <c r="M176" s="33"/>
      <c r="N176" s="33"/>
      <c r="O176" s="33"/>
      <c r="P176" s="33"/>
      <c r="Q176" s="33"/>
      <c r="R176" s="33"/>
      <c r="S176" s="502">
        <v>4054</v>
      </c>
      <c r="T176" s="77">
        <v>4054</v>
      </c>
      <c r="U176" s="518">
        <f t="shared" si="21"/>
        <v>1</v>
      </c>
    </row>
    <row r="177" spans="1:21" ht="36.75" customHeight="1">
      <c r="A177" s="55"/>
      <c r="B177" s="342" t="s">
        <v>649</v>
      </c>
      <c r="C177" s="343"/>
      <c r="D177" s="343" t="s">
        <v>647</v>
      </c>
      <c r="E177" s="343"/>
      <c r="F177" s="348"/>
      <c r="G177" s="348"/>
      <c r="H177" s="346"/>
      <c r="I177" s="346"/>
      <c r="J177" s="348"/>
      <c r="K177" s="348"/>
      <c r="L177" s="348"/>
      <c r="M177" s="348"/>
      <c r="N177" s="348"/>
      <c r="O177" s="348"/>
      <c r="P177" s="348"/>
      <c r="Q177" s="348"/>
      <c r="R177" s="348"/>
      <c r="S177" s="500">
        <f>S178</f>
        <v>54070</v>
      </c>
      <c r="T177" s="348">
        <f>T178</f>
        <v>54070</v>
      </c>
      <c r="U177" s="517">
        <f t="shared" si="21"/>
        <v>1</v>
      </c>
    </row>
    <row r="178" spans="1:21" ht="24.75" customHeight="1">
      <c r="A178" s="55"/>
      <c r="B178" s="74" t="s">
        <v>153</v>
      </c>
      <c r="C178" s="32"/>
      <c r="D178" s="32"/>
      <c r="E178" s="32" t="s">
        <v>637</v>
      </c>
      <c r="F178" s="33"/>
      <c r="G178" s="33"/>
      <c r="H178" s="36"/>
      <c r="I178" s="36"/>
      <c r="J178" s="33"/>
      <c r="K178" s="33"/>
      <c r="L178" s="33"/>
      <c r="M178" s="33"/>
      <c r="N178" s="33"/>
      <c r="O178" s="33"/>
      <c r="P178" s="33"/>
      <c r="Q178" s="33"/>
      <c r="R178" s="33"/>
      <c r="S178" s="502">
        <v>54070</v>
      </c>
      <c r="T178" s="77">
        <v>54070</v>
      </c>
      <c r="U178" s="518">
        <f t="shared" si="21"/>
        <v>1</v>
      </c>
    </row>
    <row r="179" spans="1:21" ht="24.75" customHeight="1">
      <c r="A179" s="55"/>
      <c r="B179" s="342" t="s">
        <v>33</v>
      </c>
      <c r="C179" s="343"/>
      <c r="D179" s="343" t="s">
        <v>417</v>
      </c>
      <c r="E179" s="343"/>
      <c r="F179" s="348"/>
      <c r="G179" s="348"/>
      <c r="H179" s="346"/>
      <c r="I179" s="346"/>
      <c r="J179" s="348"/>
      <c r="K179" s="348"/>
      <c r="L179" s="348"/>
      <c r="M179" s="348"/>
      <c r="N179" s="348"/>
      <c r="O179" s="348"/>
      <c r="P179" s="348"/>
      <c r="Q179" s="348"/>
      <c r="R179" s="348"/>
      <c r="S179" s="500">
        <f>S180</f>
        <v>44000</v>
      </c>
      <c r="T179" s="348">
        <f>T180</f>
        <v>44000</v>
      </c>
      <c r="U179" s="517">
        <f t="shared" si="21"/>
        <v>1</v>
      </c>
    </row>
    <row r="180" spans="1:21" ht="33" customHeight="1">
      <c r="A180" s="55"/>
      <c r="B180" s="74" t="s">
        <v>648</v>
      </c>
      <c r="C180" s="32"/>
      <c r="D180" s="32"/>
      <c r="E180" s="32" t="s">
        <v>496</v>
      </c>
      <c r="F180" s="33"/>
      <c r="G180" s="33"/>
      <c r="H180" s="36"/>
      <c r="I180" s="36"/>
      <c r="J180" s="33"/>
      <c r="K180" s="33"/>
      <c r="L180" s="33"/>
      <c r="M180" s="33"/>
      <c r="N180" s="33"/>
      <c r="O180" s="33"/>
      <c r="P180" s="33"/>
      <c r="Q180" s="33"/>
      <c r="R180" s="33"/>
      <c r="S180" s="502">
        <v>44000</v>
      </c>
      <c r="T180" s="77">
        <v>44000</v>
      </c>
      <c r="U180" s="518">
        <f t="shared" si="21"/>
        <v>1</v>
      </c>
    </row>
    <row r="181" spans="1:21" ht="25.5" customHeight="1">
      <c r="A181" s="20">
        <v>10</v>
      </c>
      <c r="B181" s="57" t="s">
        <v>168</v>
      </c>
      <c r="C181" s="22" t="s">
        <v>159</v>
      </c>
      <c r="D181" s="22"/>
      <c r="E181" s="22"/>
      <c r="F181" s="21"/>
      <c r="G181" s="21"/>
      <c r="H181" s="58"/>
      <c r="I181" s="58"/>
      <c r="J181" s="21"/>
      <c r="K181" s="21"/>
      <c r="L181" s="21"/>
      <c r="M181" s="21"/>
      <c r="N181" s="21"/>
      <c r="O181" s="21"/>
      <c r="P181" s="21"/>
      <c r="Q181" s="21"/>
      <c r="R181" s="21"/>
      <c r="S181" s="499">
        <f>S182+S186</f>
        <v>102068</v>
      </c>
      <c r="T181" s="21">
        <f>T182+T186</f>
        <v>102092</v>
      </c>
      <c r="U181" s="516">
        <f t="shared" si="21"/>
        <v>1.0002351373594074</v>
      </c>
    </row>
    <row r="182" spans="1:21" s="54" customFormat="1" ht="15.75" customHeight="1">
      <c r="A182" s="334" t="s">
        <v>25</v>
      </c>
      <c r="B182" s="342" t="s">
        <v>164</v>
      </c>
      <c r="C182" s="336"/>
      <c r="D182" s="336" t="s">
        <v>165</v>
      </c>
      <c r="E182" s="336"/>
      <c r="F182" s="335">
        <f>F183</f>
        <v>19873</v>
      </c>
      <c r="G182" s="335">
        <f>G183</f>
        <v>20000</v>
      </c>
      <c r="H182" s="339">
        <f>G182/F182*100</f>
        <v>100.63905801841695</v>
      </c>
      <c r="I182" s="339" t="e">
        <f>F182/F224</f>
        <v>#DIV/0!</v>
      </c>
      <c r="J182" s="335"/>
      <c r="K182" s="335">
        <f aca="true" t="shared" si="24" ref="K182:R182">K183</f>
        <v>0</v>
      </c>
      <c r="L182" s="335">
        <f t="shared" si="24"/>
        <v>0</v>
      </c>
      <c r="M182" s="335">
        <f t="shared" si="24"/>
        <v>12412</v>
      </c>
      <c r="N182" s="335">
        <f t="shared" si="24"/>
        <v>0</v>
      </c>
      <c r="O182" s="335">
        <f t="shared" si="24"/>
        <v>0</v>
      </c>
      <c r="P182" s="341">
        <f t="shared" si="24"/>
        <v>12412</v>
      </c>
      <c r="Q182" s="341">
        <f t="shared" si="24"/>
        <v>0</v>
      </c>
      <c r="R182" s="341">
        <f t="shared" si="24"/>
        <v>0</v>
      </c>
      <c r="S182" s="503">
        <f>SUM(S183:S185)</f>
        <v>100858</v>
      </c>
      <c r="T182" s="341">
        <f>SUM(T183:T185)</f>
        <v>100858</v>
      </c>
      <c r="U182" s="517">
        <f t="shared" si="21"/>
        <v>1</v>
      </c>
    </row>
    <row r="183" spans="1:21" ht="17.25" customHeight="1">
      <c r="A183" s="55"/>
      <c r="B183" s="74" t="s">
        <v>55</v>
      </c>
      <c r="C183" s="32"/>
      <c r="D183" s="32"/>
      <c r="E183" s="32" t="s">
        <v>56</v>
      </c>
      <c r="F183" s="33">
        <v>19873</v>
      </c>
      <c r="G183" s="33">
        <v>20000</v>
      </c>
      <c r="H183" s="36">
        <f>G183/F183*100</f>
        <v>100.63905801841695</v>
      </c>
      <c r="I183" s="36" t="e">
        <f>F183/F224</f>
        <v>#DIV/0!</v>
      </c>
      <c r="J183" s="33"/>
      <c r="K183" s="33">
        <v>0</v>
      </c>
      <c r="L183" s="33">
        <v>0</v>
      </c>
      <c r="M183" s="33">
        <v>12412</v>
      </c>
      <c r="N183" s="33">
        <v>0</v>
      </c>
      <c r="O183" s="33">
        <v>0</v>
      </c>
      <c r="P183" s="33">
        <v>12412</v>
      </c>
      <c r="Q183" s="33">
        <v>0</v>
      </c>
      <c r="R183" s="33">
        <v>0</v>
      </c>
      <c r="S183" s="502">
        <v>19297</v>
      </c>
      <c r="T183" s="77">
        <v>19297</v>
      </c>
      <c r="U183" s="518">
        <f t="shared" si="21"/>
        <v>1</v>
      </c>
    </row>
    <row r="184" spans="1:21" ht="35.25" customHeight="1">
      <c r="A184" s="55"/>
      <c r="B184" s="74" t="s">
        <v>652</v>
      </c>
      <c r="C184" s="32"/>
      <c r="D184" s="32"/>
      <c r="E184" s="32" t="s">
        <v>650</v>
      </c>
      <c r="F184" s="33"/>
      <c r="G184" s="33"/>
      <c r="H184" s="36"/>
      <c r="I184" s="36"/>
      <c r="J184" s="33"/>
      <c r="K184" s="33"/>
      <c r="L184" s="33"/>
      <c r="M184" s="33"/>
      <c r="N184" s="33"/>
      <c r="O184" s="33"/>
      <c r="P184" s="33"/>
      <c r="Q184" s="33"/>
      <c r="R184" s="33"/>
      <c r="S184" s="502">
        <v>2164</v>
      </c>
      <c r="T184" s="77">
        <v>2164</v>
      </c>
      <c r="U184" s="518">
        <f t="shared" si="21"/>
        <v>1</v>
      </c>
    </row>
    <row r="185" spans="1:21" ht="34.5" customHeight="1">
      <c r="A185" s="55"/>
      <c r="B185" s="74" t="s">
        <v>188</v>
      </c>
      <c r="C185" s="32"/>
      <c r="D185" s="32"/>
      <c r="E185" s="32" t="s">
        <v>651</v>
      </c>
      <c r="F185" s="33"/>
      <c r="G185" s="33"/>
      <c r="H185" s="36"/>
      <c r="I185" s="36"/>
      <c r="J185" s="33"/>
      <c r="K185" s="33"/>
      <c r="L185" s="33"/>
      <c r="M185" s="33"/>
      <c r="N185" s="33"/>
      <c r="O185" s="33"/>
      <c r="P185" s="33"/>
      <c r="Q185" s="33"/>
      <c r="R185" s="33"/>
      <c r="S185" s="502">
        <v>79397</v>
      </c>
      <c r="T185" s="77">
        <v>79397</v>
      </c>
      <c r="U185" s="518">
        <f t="shared" si="21"/>
        <v>1</v>
      </c>
    </row>
    <row r="186" spans="1:21" s="54" customFormat="1" ht="18" customHeight="1">
      <c r="A186" s="334" t="s">
        <v>32</v>
      </c>
      <c r="B186" s="355" t="s">
        <v>169</v>
      </c>
      <c r="C186" s="336"/>
      <c r="D186" s="336" t="s">
        <v>170</v>
      </c>
      <c r="E186" s="336"/>
      <c r="F186" s="335" t="e">
        <f>#REF!</f>
        <v>#REF!</v>
      </c>
      <c r="G186" s="335" t="e">
        <f>#REF!</f>
        <v>#REF!</v>
      </c>
      <c r="H186" s="339" t="e">
        <f>IF(F186&gt;0,G186/F186*100,"")</f>
        <v>#REF!</v>
      </c>
      <c r="I186" s="339" t="e">
        <f>F186/F224</f>
        <v>#REF!</v>
      </c>
      <c r="J186" s="335"/>
      <c r="K186" s="335" t="e">
        <f>#REF!</f>
        <v>#REF!</v>
      </c>
      <c r="L186" s="335" t="e">
        <f>#REF!</f>
        <v>#REF!</v>
      </c>
      <c r="M186" s="335" t="e">
        <f>#REF!+M188</f>
        <v>#REF!</v>
      </c>
      <c r="N186" s="335" t="e">
        <f>#REF!+N188</f>
        <v>#REF!</v>
      </c>
      <c r="O186" s="335" t="e">
        <f>#REF!+O188</f>
        <v>#REF!</v>
      </c>
      <c r="P186" s="341" t="e">
        <f>#REF!+P188</f>
        <v>#REF!</v>
      </c>
      <c r="Q186" s="341" t="e">
        <f>#REF!+Q188</f>
        <v>#REF!</v>
      </c>
      <c r="R186" s="341" t="e">
        <f>#REF!+R188</f>
        <v>#REF!</v>
      </c>
      <c r="S186" s="503">
        <f>SUM(S187:S188)</f>
        <v>1210</v>
      </c>
      <c r="T186" s="341">
        <f>T187+T188</f>
        <v>1234</v>
      </c>
      <c r="U186" s="517">
        <f t="shared" si="21"/>
        <v>1.0198347107438017</v>
      </c>
    </row>
    <row r="187" spans="1:22" ht="16.5" customHeight="1">
      <c r="A187" s="55"/>
      <c r="B187" s="74" t="s">
        <v>30</v>
      </c>
      <c r="C187" s="32"/>
      <c r="D187" s="32"/>
      <c r="E187" s="32" t="s">
        <v>31</v>
      </c>
      <c r="F187" s="33"/>
      <c r="G187" s="33"/>
      <c r="H187" s="36"/>
      <c r="I187" s="36"/>
      <c r="J187" s="33"/>
      <c r="K187" s="33"/>
      <c r="L187" s="33"/>
      <c r="M187" s="33"/>
      <c r="N187" s="33"/>
      <c r="O187" s="33"/>
      <c r="P187" s="33"/>
      <c r="Q187" s="33"/>
      <c r="R187" s="33"/>
      <c r="S187" s="502">
        <v>90</v>
      </c>
      <c r="T187" s="77">
        <v>114</v>
      </c>
      <c r="U187" s="518">
        <f t="shared" si="21"/>
        <v>1.2666666666666666</v>
      </c>
      <c r="V187" s="93"/>
    </row>
    <row r="188" spans="1:22" ht="16.5" customHeight="1">
      <c r="A188" s="55"/>
      <c r="B188" s="74" t="s">
        <v>55</v>
      </c>
      <c r="C188" s="32"/>
      <c r="D188" s="32"/>
      <c r="E188" s="32" t="s">
        <v>56</v>
      </c>
      <c r="F188" s="33"/>
      <c r="G188" s="33"/>
      <c r="H188" s="36"/>
      <c r="I188" s="36"/>
      <c r="J188" s="33"/>
      <c r="K188" s="33"/>
      <c r="L188" s="33"/>
      <c r="M188" s="33">
        <v>30</v>
      </c>
      <c r="N188" s="33">
        <v>0</v>
      </c>
      <c r="O188" s="33">
        <v>0</v>
      </c>
      <c r="P188" s="33">
        <v>30</v>
      </c>
      <c r="Q188" s="33">
        <v>0</v>
      </c>
      <c r="R188" s="33">
        <v>0</v>
      </c>
      <c r="S188" s="502">
        <v>1120</v>
      </c>
      <c r="T188" s="77">
        <v>1120</v>
      </c>
      <c r="U188" s="518">
        <f t="shared" si="21"/>
        <v>1</v>
      </c>
      <c r="V188" s="93"/>
    </row>
    <row r="189" spans="1:22" ht="27.75" customHeight="1">
      <c r="A189" s="20" t="s">
        <v>171</v>
      </c>
      <c r="B189" s="98" t="s">
        <v>172</v>
      </c>
      <c r="C189" s="22" t="s">
        <v>173</v>
      </c>
      <c r="D189" s="78"/>
      <c r="E189" s="78"/>
      <c r="F189" s="28" t="e">
        <f>F190+F196+F202</f>
        <v>#REF!</v>
      </c>
      <c r="G189" s="21" t="e">
        <f>G190+G196+G202</f>
        <v>#REF!</v>
      </c>
      <c r="H189" s="58" t="e">
        <f>IF(F189&gt;0,G189/F189*100,"")</f>
        <v>#REF!</v>
      </c>
      <c r="I189" s="58" t="e">
        <f>F189/F216</f>
        <v>#REF!</v>
      </c>
      <c r="J189" s="21"/>
      <c r="K189" s="21" t="e">
        <f aca="true" t="shared" si="25" ref="K189:R189">K190+K196+K202</f>
        <v>#REF!</v>
      </c>
      <c r="L189" s="21" t="e">
        <f t="shared" si="25"/>
        <v>#REF!</v>
      </c>
      <c r="M189" s="21" t="e">
        <f t="shared" si="25"/>
        <v>#REF!</v>
      </c>
      <c r="N189" s="21" t="e">
        <f t="shared" si="25"/>
        <v>#REF!</v>
      </c>
      <c r="O189" s="21" t="e">
        <f t="shared" si="25"/>
        <v>#REF!</v>
      </c>
      <c r="P189" s="59" t="e">
        <f t="shared" si="25"/>
        <v>#REF!</v>
      </c>
      <c r="Q189" s="59" t="e">
        <f t="shared" si="25"/>
        <v>#REF!</v>
      </c>
      <c r="R189" s="59" t="e">
        <f t="shared" si="25"/>
        <v>#REF!</v>
      </c>
      <c r="S189" s="504">
        <f>S190+S196+S202+S207</f>
        <v>778323</v>
      </c>
      <c r="T189" s="59">
        <f>T190+T196+T202+T207</f>
        <v>777564</v>
      </c>
      <c r="U189" s="519">
        <f t="shared" si="21"/>
        <v>0.9990248264537988</v>
      </c>
      <c r="V189" s="93"/>
    </row>
    <row r="190" spans="1:21" s="54" customFormat="1" ht="26.25" customHeight="1">
      <c r="A190" s="334" t="s">
        <v>25</v>
      </c>
      <c r="B190" s="342" t="s">
        <v>174</v>
      </c>
      <c r="C190" s="336"/>
      <c r="D190" s="336" t="s">
        <v>175</v>
      </c>
      <c r="E190" s="336"/>
      <c r="F190" s="335">
        <f>F191+F192+F194</f>
        <v>84355</v>
      </c>
      <c r="G190" s="335" t="e">
        <f>G191+G192+G194+#REF!</f>
        <v>#REF!</v>
      </c>
      <c r="H190" s="339" t="e">
        <f>IF(F190&gt;0,G190/F190*100,"")</f>
        <v>#REF!</v>
      </c>
      <c r="I190" s="339" t="e">
        <f>F190/F216</f>
        <v>#REF!</v>
      </c>
      <c r="J190" s="335"/>
      <c r="K190" s="335" t="e">
        <f>K191+K192+K194+#REF!</f>
        <v>#REF!</v>
      </c>
      <c r="L190" s="335" t="e">
        <f>L191+L192+L194+#REF!</f>
        <v>#REF!</v>
      </c>
      <c r="M190" s="335" t="e">
        <f>#REF!+M191+M192+M194+#REF!+M195</f>
        <v>#REF!</v>
      </c>
      <c r="N190" s="335" t="e">
        <f>#REF!+N191+N192+#REF!+N194+N195</f>
        <v>#REF!</v>
      </c>
      <c r="O190" s="335" t="e">
        <f>#REF!+O191+O192+#REF!+O194+O195</f>
        <v>#REF!</v>
      </c>
      <c r="P190" s="341">
        <f>P191+P192+P194+P195</f>
        <v>67100</v>
      </c>
      <c r="Q190" s="341">
        <f>Q191+Q192+Q194+Q195</f>
        <v>0</v>
      </c>
      <c r="R190" s="341">
        <f>R191+R192+R194+R195</f>
        <v>0</v>
      </c>
      <c r="S190" s="503">
        <f>SUM(S191:S195)</f>
        <v>82010</v>
      </c>
      <c r="T190" s="335">
        <f>T191+T192+T193+T194+T195</f>
        <v>83060</v>
      </c>
      <c r="U190" s="517">
        <f t="shared" si="21"/>
        <v>1.012803316668699</v>
      </c>
    </row>
    <row r="191" spans="1:21" ht="22.5" customHeight="1">
      <c r="A191" s="55"/>
      <c r="B191" s="74" t="s">
        <v>176</v>
      </c>
      <c r="C191" s="32"/>
      <c r="D191" s="32"/>
      <c r="E191" s="32" t="s">
        <v>149</v>
      </c>
      <c r="F191" s="33">
        <v>8195</v>
      </c>
      <c r="G191" s="33">
        <v>33775</v>
      </c>
      <c r="H191" s="36">
        <f>IF(F191&gt;0,G191/F191*100,"")</f>
        <v>412.1415497254423</v>
      </c>
      <c r="I191" s="36" t="e">
        <f>F191/F216</f>
        <v>#REF!</v>
      </c>
      <c r="J191" s="33"/>
      <c r="K191" s="33">
        <v>0</v>
      </c>
      <c r="L191" s="33">
        <v>0</v>
      </c>
      <c r="M191" s="33">
        <v>20900</v>
      </c>
      <c r="N191" s="33">
        <v>0</v>
      </c>
      <c r="O191" s="33">
        <v>0</v>
      </c>
      <c r="P191" s="33">
        <v>18000</v>
      </c>
      <c r="Q191" s="33">
        <v>0</v>
      </c>
      <c r="R191" s="33">
        <v>0</v>
      </c>
      <c r="S191" s="502">
        <v>51600</v>
      </c>
      <c r="T191" s="77">
        <v>52471</v>
      </c>
      <c r="U191" s="518">
        <f t="shared" si="21"/>
        <v>1.0168798449612404</v>
      </c>
    </row>
    <row r="192" spans="1:21" ht="24" customHeight="1">
      <c r="A192" s="55"/>
      <c r="B192" s="74" t="s">
        <v>123</v>
      </c>
      <c r="C192" s="32"/>
      <c r="D192" s="32"/>
      <c r="E192" s="32" t="s">
        <v>52</v>
      </c>
      <c r="F192" s="33">
        <v>60000</v>
      </c>
      <c r="G192" s="33">
        <v>66000</v>
      </c>
      <c r="H192" s="36">
        <f>IF(F192&gt;0,G192/F192*100,"")</f>
        <v>110.00000000000001</v>
      </c>
      <c r="I192" s="36" t="e">
        <f>F192/F216</f>
        <v>#REF!</v>
      </c>
      <c r="J192" s="33"/>
      <c r="K192" s="33">
        <v>0</v>
      </c>
      <c r="L192" s="33">
        <v>0</v>
      </c>
      <c r="M192" s="33">
        <v>55000</v>
      </c>
      <c r="N192" s="33">
        <v>0</v>
      </c>
      <c r="O192" s="33">
        <v>0</v>
      </c>
      <c r="P192" s="33">
        <v>49000</v>
      </c>
      <c r="Q192" s="33">
        <v>0</v>
      </c>
      <c r="R192" s="33">
        <v>0</v>
      </c>
      <c r="S192" s="502">
        <v>21481</v>
      </c>
      <c r="T192" s="77">
        <v>21481</v>
      </c>
      <c r="U192" s="518">
        <f t="shared" si="21"/>
        <v>1</v>
      </c>
    </row>
    <row r="193" spans="1:21" ht="18.75" customHeight="1">
      <c r="A193" s="55"/>
      <c r="B193" s="74" t="s">
        <v>653</v>
      </c>
      <c r="C193" s="32"/>
      <c r="D193" s="32"/>
      <c r="E193" s="32" t="s">
        <v>68</v>
      </c>
      <c r="F193" s="33"/>
      <c r="G193" s="33"/>
      <c r="H193" s="36"/>
      <c r="I193" s="36"/>
      <c r="J193" s="33"/>
      <c r="K193" s="33"/>
      <c r="L193" s="33"/>
      <c r="M193" s="33"/>
      <c r="N193" s="33"/>
      <c r="O193" s="33"/>
      <c r="P193" s="33"/>
      <c r="Q193" s="33"/>
      <c r="R193" s="33"/>
      <c r="S193" s="502">
        <v>50</v>
      </c>
      <c r="T193" s="77">
        <v>50</v>
      </c>
      <c r="U193" s="518">
        <f t="shared" si="21"/>
        <v>1</v>
      </c>
    </row>
    <row r="194" spans="1:21" ht="19.5" customHeight="1">
      <c r="A194" s="55"/>
      <c r="B194" s="74" t="s">
        <v>30</v>
      </c>
      <c r="C194" s="32"/>
      <c r="D194" s="32"/>
      <c r="E194" s="32" t="s">
        <v>31</v>
      </c>
      <c r="F194" s="33">
        <v>16160</v>
      </c>
      <c r="G194" s="33">
        <v>16748</v>
      </c>
      <c r="H194" s="36">
        <f>IF(F194&gt;0,G194/F194*100,"")</f>
        <v>103.63861386138613</v>
      </c>
      <c r="I194" s="36" t="e">
        <f>F194/F216</f>
        <v>#REF!</v>
      </c>
      <c r="J194" s="33"/>
      <c r="K194" s="33">
        <v>0</v>
      </c>
      <c r="L194" s="33">
        <v>0</v>
      </c>
      <c r="M194" s="33">
        <v>700</v>
      </c>
      <c r="N194" s="33">
        <v>0</v>
      </c>
      <c r="O194" s="33">
        <v>0</v>
      </c>
      <c r="P194" s="33">
        <v>100</v>
      </c>
      <c r="Q194" s="33">
        <v>0</v>
      </c>
      <c r="R194" s="33">
        <v>0</v>
      </c>
      <c r="S194" s="502">
        <v>300</v>
      </c>
      <c r="T194" s="77">
        <v>339</v>
      </c>
      <c r="U194" s="518">
        <f t="shared" si="21"/>
        <v>1.13</v>
      </c>
    </row>
    <row r="195" spans="1:21" ht="17.25" customHeight="1">
      <c r="A195" s="55"/>
      <c r="B195" s="74" t="s">
        <v>55</v>
      </c>
      <c r="C195" s="32"/>
      <c r="D195" s="32"/>
      <c r="E195" s="32" t="s">
        <v>56</v>
      </c>
      <c r="F195" s="33"/>
      <c r="G195" s="33"/>
      <c r="H195" s="36"/>
      <c r="I195" s="36"/>
      <c r="J195" s="33"/>
      <c r="K195" s="33"/>
      <c r="L195" s="33"/>
      <c r="M195" s="33">
        <v>200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502">
        <v>8579</v>
      </c>
      <c r="T195" s="77">
        <v>8719</v>
      </c>
      <c r="U195" s="518">
        <f t="shared" si="21"/>
        <v>1.0163189182888448</v>
      </c>
    </row>
    <row r="196" spans="1:21" s="54" customFormat="1" ht="24.75" customHeight="1">
      <c r="A196" s="334" t="s">
        <v>32</v>
      </c>
      <c r="B196" s="342" t="s">
        <v>177</v>
      </c>
      <c r="C196" s="336"/>
      <c r="D196" s="336" t="s">
        <v>178</v>
      </c>
      <c r="E196" s="336"/>
      <c r="F196" s="335" t="e">
        <f>F197+F198+#REF!+F199</f>
        <v>#REF!</v>
      </c>
      <c r="G196" s="335" t="e">
        <f>G197+G198+#REF!+G199</f>
        <v>#REF!</v>
      </c>
      <c r="H196" s="339" t="e">
        <f aca="true" t="shared" si="26" ref="H196:H204">IF(F196&gt;0,G196/F196*100,"")</f>
        <v>#REF!</v>
      </c>
      <c r="I196" s="339" t="e">
        <f>F196/F216</f>
        <v>#REF!</v>
      </c>
      <c r="J196" s="335"/>
      <c r="K196" s="335" t="e">
        <f>K198+#REF!+K199</f>
        <v>#REF!</v>
      </c>
      <c r="L196" s="335" t="e">
        <f>L198+#REF!+L199</f>
        <v>#REF!</v>
      </c>
      <c r="M196" s="335" t="e">
        <f>M198+#REF!+M199</f>
        <v>#REF!</v>
      </c>
      <c r="N196" s="335" t="e">
        <f>N198+#REF!+N199</f>
        <v>#REF!</v>
      </c>
      <c r="O196" s="335" t="e">
        <f>O198+#REF!+O199</f>
        <v>#REF!</v>
      </c>
      <c r="P196" s="341">
        <f>P198+P199</f>
        <v>22890</v>
      </c>
      <c r="Q196" s="341">
        <f>Q198+Q199</f>
        <v>0</v>
      </c>
      <c r="R196" s="341">
        <f>R198+R199</f>
        <v>904</v>
      </c>
      <c r="S196" s="503">
        <f>S198+S199+S200+S201</f>
        <v>21143</v>
      </c>
      <c r="T196" s="341">
        <f>T198+T199+T200+T201</f>
        <v>18807</v>
      </c>
      <c r="U196" s="517">
        <f t="shared" si="21"/>
        <v>0.8895142600387835</v>
      </c>
    </row>
    <row r="197" spans="1:21" ht="16.5" customHeight="1" hidden="1">
      <c r="A197" s="55"/>
      <c r="B197" s="72" t="s">
        <v>35</v>
      </c>
      <c r="C197" s="32"/>
      <c r="D197" s="32"/>
      <c r="E197" s="32" t="s">
        <v>126</v>
      </c>
      <c r="F197" s="33">
        <v>10</v>
      </c>
      <c r="G197" s="33">
        <v>0</v>
      </c>
      <c r="H197" s="36">
        <f t="shared" si="26"/>
        <v>0</v>
      </c>
      <c r="I197" s="36" t="e">
        <f>F197/F216</f>
        <v>#REF!</v>
      </c>
      <c r="J197" s="33"/>
      <c r="K197" s="33"/>
      <c r="L197" s="33"/>
      <c r="M197" s="33"/>
      <c r="N197" s="33"/>
      <c r="O197" s="33"/>
      <c r="P197" s="33"/>
      <c r="Q197" s="33"/>
      <c r="R197" s="33"/>
      <c r="S197" s="502"/>
      <c r="T197" s="320" t="e">
        <f>T198+T204+#REF!</f>
        <v>#REF!</v>
      </c>
      <c r="U197" s="518" t="e">
        <f t="shared" si="21"/>
        <v>#REF!</v>
      </c>
    </row>
    <row r="198" spans="1:21" ht="23.25" customHeight="1">
      <c r="A198" s="55"/>
      <c r="B198" s="74" t="s">
        <v>123</v>
      </c>
      <c r="C198" s="32"/>
      <c r="D198" s="32"/>
      <c r="E198" s="32" t="s">
        <v>52</v>
      </c>
      <c r="F198" s="33">
        <v>19580</v>
      </c>
      <c r="G198" s="33">
        <v>23550</v>
      </c>
      <c r="H198" s="36">
        <f t="shared" si="26"/>
        <v>120.27579162410622</v>
      </c>
      <c r="I198" s="36" t="e">
        <f>F198/F216</f>
        <v>#REF!</v>
      </c>
      <c r="J198" s="33"/>
      <c r="K198" s="33">
        <v>0</v>
      </c>
      <c r="L198" s="33">
        <v>0</v>
      </c>
      <c r="M198" s="33">
        <v>22560</v>
      </c>
      <c r="N198" s="33">
        <v>0</v>
      </c>
      <c r="O198" s="33">
        <v>0</v>
      </c>
      <c r="P198" s="33">
        <v>22740</v>
      </c>
      <c r="Q198" s="33">
        <v>0</v>
      </c>
      <c r="R198" s="33">
        <v>760</v>
      </c>
      <c r="S198" s="502">
        <v>21012</v>
      </c>
      <c r="T198" s="77">
        <v>18702</v>
      </c>
      <c r="U198" s="518">
        <f t="shared" si="21"/>
        <v>0.8900628212450029</v>
      </c>
    </row>
    <row r="199" spans="1:21" ht="16.5" customHeight="1">
      <c r="A199" s="55"/>
      <c r="B199" s="74" t="s">
        <v>53</v>
      </c>
      <c r="C199" s="32"/>
      <c r="D199" s="32"/>
      <c r="E199" s="32" t="s">
        <v>54</v>
      </c>
      <c r="F199" s="33">
        <v>1563</v>
      </c>
      <c r="G199" s="33">
        <v>1863</v>
      </c>
      <c r="H199" s="36">
        <f t="shared" si="26"/>
        <v>119.19385796545106</v>
      </c>
      <c r="I199" s="36" t="e">
        <f>F199/F216</f>
        <v>#REF!</v>
      </c>
      <c r="J199" s="33"/>
      <c r="K199" s="33">
        <v>0</v>
      </c>
      <c r="L199" s="33">
        <v>0</v>
      </c>
      <c r="M199" s="33">
        <v>100</v>
      </c>
      <c r="N199" s="33">
        <v>0</v>
      </c>
      <c r="O199" s="33">
        <v>0</v>
      </c>
      <c r="P199" s="33">
        <v>150</v>
      </c>
      <c r="Q199" s="33">
        <v>0</v>
      </c>
      <c r="R199" s="33">
        <v>144</v>
      </c>
      <c r="S199" s="502">
        <v>100</v>
      </c>
      <c r="T199" s="77">
        <v>70</v>
      </c>
      <c r="U199" s="518">
        <f t="shared" si="21"/>
        <v>0.7</v>
      </c>
    </row>
    <row r="200" spans="1:21" ht="16.5" customHeight="1">
      <c r="A200" s="55"/>
      <c r="B200" s="74" t="s">
        <v>30</v>
      </c>
      <c r="C200" s="32"/>
      <c r="D200" s="32"/>
      <c r="E200" s="32" t="s">
        <v>31</v>
      </c>
      <c r="F200" s="33"/>
      <c r="G200" s="33"/>
      <c r="H200" s="36"/>
      <c r="I200" s="36"/>
      <c r="J200" s="33"/>
      <c r="K200" s="33"/>
      <c r="L200" s="33"/>
      <c r="M200" s="33"/>
      <c r="N200" s="33"/>
      <c r="O200" s="33"/>
      <c r="P200" s="33"/>
      <c r="Q200" s="33"/>
      <c r="R200" s="33"/>
      <c r="S200" s="502">
        <v>7</v>
      </c>
      <c r="T200" s="77">
        <v>11</v>
      </c>
      <c r="U200" s="518">
        <f t="shared" si="21"/>
        <v>1.5714285714285714</v>
      </c>
    </row>
    <row r="201" spans="1:21" ht="16.5" customHeight="1">
      <c r="A201" s="55"/>
      <c r="B201" s="74" t="s">
        <v>55</v>
      </c>
      <c r="C201" s="32"/>
      <c r="D201" s="32"/>
      <c r="E201" s="32" t="s">
        <v>56</v>
      </c>
      <c r="F201" s="33"/>
      <c r="G201" s="33"/>
      <c r="H201" s="36"/>
      <c r="I201" s="36"/>
      <c r="J201" s="33"/>
      <c r="K201" s="33"/>
      <c r="L201" s="33"/>
      <c r="M201" s="33"/>
      <c r="N201" s="33"/>
      <c r="O201" s="33"/>
      <c r="P201" s="33"/>
      <c r="Q201" s="33"/>
      <c r="R201" s="33"/>
      <c r="S201" s="502">
        <v>24</v>
      </c>
      <c r="T201" s="77">
        <v>24</v>
      </c>
      <c r="U201" s="518">
        <f t="shared" si="21"/>
        <v>1</v>
      </c>
    </row>
    <row r="202" spans="1:21" s="54" customFormat="1" ht="16.5" customHeight="1">
      <c r="A202" s="334" t="s">
        <v>75</v>
      </c>
      <c r="B202" s="342" t="s">
        <v>179</v>
      </c>
      <c r="C202" s="336"/>
      <c r="D202" s="336" t="s">
        <v>180</v>
      </c>
      <c r="E202" s="336"/>
      <c r="F202" s="335">
        <f>F203+F204</f>
        <v>21680</v>
      </c>
      <c r="G202" s="335">
        <f>G203+G204</f>
        <v>17100</v>
      </c>
      <c r="H202" s="339">
        <f t="shared" si="26"/>
        <v>78.87453874538745</v>
      </c>
      <c r="I202" s="339" t="e">
        <f>F202/F216</f>
        <v>#REF!</v>
      </c>
      <c r="J202" s="335"/>
      <c r="K202" s="335">
        <f>K203+K204</f>
        <v>0</v>
      </c>
      <c r="L202" s="335">
        <f>L203+L204</f>
        <v>0</v>
      </c>
      <c r="M202" s="335" t="e">
        <f>M203+M204+#REF!</f>
        <v>#REF!</v>
      </c>
      <c r="N202" s="335" t="e">
        <f>N203+N204+#REF!</f>
        <v>#REF!</v>
      </c>
      <c r="O202" s="335" t="e">
        <f>O203+O204+#REF!</f>
        <v>#REF!</v>
      </c>
      <c r="P202" s="341" t="e">
        <f>P203+P204+#REF!+P205+P206</f>
        <v>#REF!</v>
      </c>
      <c r="Q202" s="341" t="e">
        <f>Q203+Q204+#REF!+Q205+Q206</f>
        <v>#REF!</v>
      </c>
      <c r="R202" s="341" t="e">
        <f>R203+R204+#REF!+R205+R206</f>
        <v>#REF!</v>
      </c>
      <c r="S202" s="503">
        <f>S203+S204+S205+S206</f>
        <v>259078</v>
      </c>
      <c r="T202" s="335">
        <f>T203+T204+T205+T206</f>
        <v>260025</v>
      </c>
      <c r="U202" s="517">
        <f t="shared" si="21"/>
        <v>1.0036552698415149</v>
      </c>
    </row>
    <row r="203" spans="1:21" ht="23.25" customHeight="1">
      <c r="A203" s="55"/>
      <c r="B203" s="74" t="s">
        <v>51</v>
      </c>
      <c r="C203" s="32"/>
      <c r="D203" s="32"/>
      <c r="E203" s="32" t="s">
        <v>52</v>
      </c>
      <c r="F203" s="33">
        <v>19535</v>
      </c>
      <c r="G203" s="33">
        <v>14800</v>
      </c>
      <c r="H203" s="36">
        <f t="shared" si="26"/>
        <v>75.76145380087024</v>
      </c>
      <c r="I203" s="36" t="e">
        <f>F203/F216</f>
        <v>#REF!</v>
      </c>
      <c r="J203" s="33"/>
      <c r="K203" s="33">
        <v>0</v>
      </c>
      <c r="L203" s="33">
        <v>0</v>
      </c>
      <c r="M203" s="33">
        <v>165726</v>
      </c>
      <c r="N203" s="33">
        <v>0</v>
      </c>
      <c r="O203" s="33">
        <v>0</v>
      </c>
      <c r="P203" s="33">
        <v>187501</v>
      </c>
      <c r="Q203" s="33">
        <v>0</v>
      </c>
      <c r="R203" s="33">
        <v>0</v>
      </c>
      <c r="S203" s="502">
        <v>158884</v>
      </c>
      <c r="T203" s="77">
        <v>159829</v>
      </c>
      <c r="U203" s="518">
        <f t="shared" si="21"/>
        <v>1.0059477354547972</v>
      </c>
    </row>
    <row r="204" spans="1:21" ht="16.5" customHeight="1">
      <c r="A204" s="55"/>
      <c r="B204" s="73" t="s">
        <v>53</v>
      </c>
      <c r="C204" s="32"/>
      <c r="D204" s="32"/>
      <c r="E204" s="32" t="s">
        <v>54</v>
      </c>
      <c r="F204" s="33">
        <v>2145</v>
      </c>
      <c r="G204" s="33">
        <v>2300</v>
      </c>
      <c r="H204" s="36">
        <f t="shared" si="26"/>
        <v>107.22610722610723</v>
      </c>
      <c r="I204" s="36" t="e">
        <f>F204/F216</f>
        <v>#REF!</v>
      </c>
      <c r="J204" s="33"/>
      <c r="K204" s="33">
        <v>0</v>
      </c>
      <c r="L204" s="33">
        <v>0</v>
      </c>
      <c r="M204" s="33">
        <v>92012</v>
      </c>
      <c r="N204" s="33">
        <v>0</v>
      </c>
      <c r="O204" s="33">
        <v>0</v>
      </c>
      <c r="P204" s="33">
        <v>100384</v>
      </c>
      <c r="Q204" s="33">
        <v>0</v>
      </c>
      <c r="R204" s="33">
        <v>0</v>
      </c>
      <c r="S204" s="502">
        <v>85097</v>
      </c>
      <c r="T204" s="77">
        <v>85098</v>
      </c>
      <c r="U204" s="518">
        <f t="shared" si="21"/>
        <v>1.0000117512955804</v>
      </c>
    </row>
    <row r="205" spans="1:21" ht="15.75" customHeight="1">
      <c r="A205" s="55"/>
      <c r="B205" s="73" t="s">
        <v>30</v>
      </c>
      <c r="C205" s="32"/>
      <c r="D205" s="32"/>
      <c r="E205" s="32" t="s">
        <v>31</v>
      </c>
      <c r="F205" s="33"/>
      <c r="G205" s="33"/>
      <c r="H205" s="36"/>
      <c r="I205" s="36"/>
      <c r="J205" s="33"/>
      <c r="K205" s="33"/>
      <c r="L205" s="33"/>
      <c r="M205" s="33"/>
      <c r="N205" s="33"/>
      <c r="O205" s="33"/>
      <c r="P205" s="33">
        <v>4719</v>
      </c>
      <c r="Q205" s="33">
        <v>0</v>
      </c>
      <c r="R205" s="33">
        <v>0</v>
      </c>
      <c r="S205" s="502">
        <v>96</v>
      </c>
      <c r="T205" s="77">
        <v>97</v>
      </c>
      <c r="U205" s="518">
        <f t="shared" si="21"/>
        <v>1.0104166666666667</v>
      </c>
    </row>
    <row r="206" spans="1:21" ht="15.75" customHeight="1">
      <c r="A206" s="55"/>
      <c r="B206" s="73" t="s">
        <v>55</v>
      </c>
      <c r="C206" s="32"/>
      <c r="D206" s="32"/>
      <c r="E206" s="32" t="s">
        <v>56</v>
      </c>
      <c r="F206" s="33"/>
      <c r="G206" s="33"/>
      <c r="H206" s="36"/>
      <c r="I206" s="36"/>
      <c r="J206" s="33"/>
      <c r="K206" s="33"/>
      <c r="L206" s="33"/>
      <c r="M206" s="33"/>
      <c r="N206" s="33"/>
      <c r="O206" s="33"/>
      <c r="P206" s="33">
        <v>51569</v>
      </c>
      <c r="Q206" s="33">
        <v>0</v>
      </c>
      <c r="R206" s="33">
        <v>0</v>
      </c>
      <c r="S206" s="502">
        <v>15001</v>
      </c>
      <c r="T206" s="77">
        <v>15001</v>
      </c>
      <c r="U206" s="518">
        <f t="shared" si="21"/>
        <v>1</v>
      </c>
    </row>
    <row r="207" spans="1:21" ht="15.75" customHeight="1">
      <c r="A207" s="350" t="s">
        <v>112</v>
      </c>
      <c r="B207" s="342" t="s">
        <v>184</v>
      </c>
      <c r="C207" s="343"/>
      <c r="D207" s="343" t="s">
        <v>185</v>
      </c>
      <c r="E207" s="343"/>
      <c r="F207" s="348"/>
      <c r="G207" s="348"/>
      <c r="H207" s="346"/>
      <c r="I207" s="346"/>
      <c r="J207" s="348"/>
      <c r="K207" s="348"/>
      <c r="L207" s="348"/>
      <c r="M207" s="348"/>
      <c r="N207" s="348"/>
      <c r="O207" s="348"/>
      <c r="P207" s="348"/>
      <c r="Q207" s="348"/>
      <c r="R207" s="348"/>
      <c r="S207" s="500">
        <f>S208+S209+S210+S211+S212</f>
        <v>416092</v>
      </c>
      <c r="T207" s="348">
        <f>T208+T209+T210+T211+T212</f>
        <v>415672</v>
      </c>
      <c r="U207" s="517">
        <f t="shared" si="21"/>
        <v>0.9989906078463416</v>
      </c>
    </row>
    <row r="208" spans="1:21" ht="15.75" customHeight="1">
      <c r="A208" s="356"/>
      <c r="B208" s="73" t="s">
        <v>30</v>
      </c>
      <c r="C208" s="363"/>
      <c r="D208" s="363"/>
      <c r="E208" s="363" t="s">
        <v>625</v>
      </c>
      <c r="F208" s="324"/>
      <c r="G208" s="324"/>
      <c r="H208" s="360"/>
      <c r="I208" s="360"/>
      <c r="J208" s="324"/>
      <c r="K208" s="324"/>
      <c r="L208" s="324"/>
      <c r="M208" s="324"/>
      <c r="N208" s="324"/>
      <c r="O208" s="324"/>
      <c r="P208" s="324"/>
      <c r="Q208" s="324"/>
      <c r="R208" s="324"/>
      <c r="S208" s="502">
        <v>0</v>
      </c>
      <c r="T208" s="77">
        <v>81</v>
      </c>
      <c r="U208" s="518">
        <v>0</v>
      </c>
    </row>
    <row r="209" spans="1:21" ht="21.75" customHeight="1">
      <c r="A209" s="356"/>
      <c r="B209" s="74" t="s">
        <v>638</v>
      </c>
      <c r="C209" s="363"/>
      <c r="D209" s="363"/>
      <c r="E209" s="363" t="s">
        <v>654</v>
      </c>
      <c r="F209" s="324"/>
      <c r="G209" s="324"/>
      <c r="H209" s="360"/>
      <c r="I209" s="360"/>
      <c r="J209" s="324"/>
      <c r="K209" s="324"/>
      <c r="L209" s="324"/>
      <c r="M209" s="324"/>
      <c r="N209" s="324"/>
      <c r="O209" s="324"/>
      <c r="P209" s="324"/>
      <c r="Q209" s="324"/>
      <c r="R209" s="324"/>
      <c r="S209" s="502">
        <v>213215</v>
      </c>
      <c r="T209" s="77">
        <v>213215</v>
      </c>
      <c r="U209" s="518">
        <f t="shared" si="21"/>
        <v>1</v>
      </c>
    </row>
    <row r="210" spans="1:21" ht="25.5" customHeight="1">
      <c r="A210" s="356"/>
      <c r="B210" s="74" t="s">
        <v>638</v>
      </c>
      <c r="C210" s="363"/>
      <c r="D210" s="363"/>
      <c r="E210" s="363" t="s">
        <v>655</v>
      </c>
      <c r="F210" s="324"/>
      <c r="G210" s="324"/>
      <c r="H210" s="360"/>
      <c r="I210" s="360"/>
      <c r="J210" s="324"/>
      <c r="K210" s="324"/>
      <c r="L210" s="324"/>
      <c r="M210" s="324"/>
      <c r="N210" s="324"/>
      <c r="O210" s="324"/>
      <c r="P210" s="324"/>
      <c r="Q210" s="324"/>
      <c r="R210" s="324"/>
      <c r="S210" s="502">
        <v>100337</v>
      </c>
      <c r="T210" s="77">
        <v>100336</v>
      </c>
      <c r="U210" s="518">
        <f t="shared" si="21"/>
        <v>0.9999900335868125</v>
      </c>
    </row>
    <row r="211" spans="1:21" s="94" customFormat="1" ht="33.75" customHeight="1">
      <c r="A211" s="30"/>
      <c r="B211" s="74" t="s">
        <v>642</v>
      </c>
      <c r="C211" s="75"/>
      <c r="D211" s="75"/>
      <c r="E211" s="76">
        <v>2338</v>
      </c>
      <c r="F211" s="49"/>
      <c r="G211" s="35"/>
      <c r="H211" s="50"/>
      <c r="I211" s="51"/>
      <c r="J211" s="52"/>
      <c r="K211" s="52"/>
      <c r="L211" s="52"/>
      <c r="M211" s="52"/>
      <c r="N211" s="52"/>
      <c r="O211" s="52"/>
      <c r="P211" s="52"/>
      <c r="Q211" s="52"/>
      <c r="R211" s="52"/>
      <c r="S211" s="507">
        <v>69727</v>
      </c>
      <c r="T211" s="77">
        <v>69387</v>
      </c>
      <c r="U211" s="518">
        <f t="shared" si="21"/>
        <v>0.9951238401193225</v>
      </c>
    </row>
    <row r="212" spans="1:21" s="94" customFormat="1" ht="34.5" customHeight="1">
      <c r="A212" s="30"/>
      <c r="B212" s="74" t="s">
        <v>642</v>
      </c>
      <c r="C212" s="75"/>
      <c r="D212" s="75"/>
      <c r="E212" s="76">
        <v>2339</v>
      </c>
      <c r="F212" s="49"/>
      <c r="G212" s="35"/>
      <c r="H212" s="50"/>
      <c r="I212" s="51"/>
      <c r="J212" s="52"/>
      <c r="K212" s="52"/>
      <c r="L212" s="52"/>
      <c r="M212" s="52"/>
      <c r="N212" s="52"/>
      <c r="O212" s="52"/>
      <c r="P212" s="52"/>
      <c r="Q212" s="52"/>
      <c r="R212" s="52"/>
      <c r="S212" s="507">
        <v>32813</v>
      </c>
      <c r="T212" s="77">
        <v>32653</v>
      </c>
      <c r="U212" s="518">
        <f t="shared" si="21"/>
        <v>0.9951238838265322</v>
      </c>
    </row>
    <row r="213" spans="1:21" s="94" customFormat="1" ht="25.5">
      <c r="A213" s="20" t="s">
        <v>186</v>
      </c>
      <c r="B213" s="57" t="s">
        <v>187</v>
      </c>
      <c r="C213" s="80">
        <v>900</v>
      </c>
      <c r="D213" s="80"/>
      <c r="E213" s="80"/>
      <c r="F213" s="69"/>
      <c r="G213" s="70"/>
      <c r="H213" s="58"/>
      <c r="I213" s="71"/>
      <c r="J213" s="21"/>
      <c r="K213" s="21"/>
      <c r="L213" s="21"/>
      <c r="M213" s="21"/>
      <c r="N213" s="21"/>
      <c r="O213" s="21"/>
      <c r="P213" s="21"/>
      <c r="Q213" s="21"/>
      <c r="R213" s="21"/>
      <c r="S213" s="499">
        <f>S214</f>
        <v>67000</v>
      </c>
      <c r="T213" s="21">
        <f>T214</f>
        <v>67000</v>
      </c>
      <c r="U213" s="516">
        <f aca="true" t="shared" si="27" ref="U213:U224">T213/S213</f>
        <v>1</v>
      </c>
    </row>
    <row r="214" spans="1:21" ht="29.25" customHeight="1">
      <c r="A214" s="334" t="s">
        <v>25</v>
      </c>
      <c r="B214" s="351" t="s">
        <v>629</v>
      </c>
      <c r="C214" s="353"/>
      <c r="D214" s="353">
        <v>90011</v>
      </c>
      <c r="E214" s="348"/>
      <c r="F214" s="337"/>
      <c r="G214" s="338"/>
      <c r="H214" s="339"/>
      <c r="I214" s="340"/>
      <c r="J214" s="335"/>
      <c r="K214" s="335"/>
      <c r="L214" s="335"/>
      <c r="M214" s="348"/>
      <c r="N214" s="348"/>
      <c r="O214" s="348"/>
      <c r="P214" s="348"/>
      <c r="Q214" s="348"/>
      <c r="R214" s="348"/>
      <c r="S214" s="500">
        <f>S215</f>
        <v>67000</v>
      </c>
      <c r="T214" s="348">
        <f>T215</f>
        <v>67000</v>
      </c>
      <c r="U214" s="517">
        <f t="shared" si="27"/>
        <v>1</v>
      </c>
    </row>
    <row r="215" spans="1:34" ht="34.5" customHeight="1" thickBot="1">
      <c r="A215" s="39"/>
      <c r="B215" s="74" t="s">
        <v>188</v>
      </c>
      <c r="C215" s="76"/>
      <c r="D215" s="76"/>
      <c r="E215" s="76">
        <v>2440</v>
      </c>
      <c r="F215" s="49"/>
      <c r="G215" s="35"/>
      <c r="H215" s="50"/>
      <c r="I215" s="51"/>
      <c r="J215" s="52"/>
      <c r="K215" s="52"/>
      <c r="L215" s="52"/>
      <c r="M215" s="33"/>
      <c r="N215" s="33"/>
      <c r="O215" s="33"/>
      <c r="P215" s="33"/>
      <c r="Q215" s="33"/>
      <c r="R215" s="33"/>
      <c r="S215" s="502">
        <v>67000</v>
      </c>
      <c r="T215" s="528">
        <v>67000</v>
      </c>
      <c r="U215" s="520">
        <f t="shared" si="27"/>
        <v>1</v>
      </c>
      <c r="V215" s="93"/>
      <c r="W215" s="93"/>
      <c r="X215" s="93"/>
      <c r="Y215" s="93"/>
      <c r="Z215" s="93"/>
      <c r="AA215" s="93"/>
      <c r="AB215" s="93"/>
      <c r="AC215" s="93"/>
      <c r="AD215" s="93"/>
      <c r="AE215" s="93"/>
      <c r="AF215" s="93"/>
      <c r="AG215" s="93"/>
      <c r="AH215" s="93"/>
    </row>
    <row r="216" spans="1:21" ht="18.75" customHeight="1" thickBot="1">
      <c r="A216" s="100"/>
      <c r="B216" s="101" t="s">
        <v>190</v>
      </c>
      <c r="C216" s="102"/>
      <c r="D216" s="102"/>
      <c r="E216" s="102"/>
      <c r="F216" s="103" t="e">
        <f>#REF!+#REF!+#REF!+#REF!+#REF!+#REF!+#REF!+#REF!</f>
        <v>#REF!</v>
      </c>
      <c r="G216" s="104" t="e">
        <f>#REF!+#REF!+#REF!+#REF!+#REF!+#REF!+#REF!+#REF!+#REF!+#REF!+#REF!+#REF!</f>
        <v>#REF!</v>
      </c>
      <c r="H216" s="105" t="e">
        <f>IF(F216&gt;0,G216/F216*100,"")</f>
        <v>#REF!</v>
      </c>
      <c r="I216" s="106" t="e">
        <f>F216/F216</f>
        <v>#REF!</v>
      </c>
      <c r="J216" s="107"/>
      <c r="K216" s="107" t="e">
        <f>#REF!+#REF!+#REF!+#REF!+#REF!+#REF!+#REF!+#REF!+#REF!</f>
        <v>#REF!</v>
      </c>
      <c r="L216" s="107" t="e">
        <f>#REF!+#REF!+#REF!+#REF!+#REF!+#REF!++#REF!+#REF!+#REF!</f>
        <v>#REF!</v>
      </c>
      <c r="M216" s="108" t="e">
        <f>#REF!+#REF!+#REF!+#REF!+#REF!+#REF!+#REF!+#REF!+#REF!+#REF!+#REF!</f>
        <v>#REF!</v>
      </c>
      <c r="N216" s="108" t="e">
        <f>#REF!+#REF!+#REF!+#REF!+#REF!+#REF!+#REF!+#REF!+#REF!+#REF!+#REF!</f>
        <v>#REF!</v>
      </c>
      <c r="O216" s="108" t="e">
        <f>#REF!+#REF!+#REF!+#REF!+#REF!+#REF!+#REF!+#REF!+#REF!+#REF!+#REF!</f>
        <v>#REF!</v>
      </c>
      <c r="P216" s="108" t="e">
        <f>#REF!+#REF!+#REF!+#REF!+#REF!+#REF!+#REF!+#REF!+#REF!+#REF!+#REF!+#REF!</f>
        <v>#REF!</v>
      </c>
      <c r="Q216" s="108" t="e">
        <f>#REF!+#REF!+#REF!+#REF!+#REF!+#REF!+#REF!+#REF!+#REF!+#REF!+#REF!+#REF!</f>
        <v>#REF!</v>
      </c>
      <c r="R216" s="321" t="e">
        <f>#REF!+#REF!+#REF!+#REF!+#REF!+#REF!+#REF!+#REF!+#REF!+#REF!+#REF!+#REF!</f>
        <v>#REF!</v>
      </c>
      <c r="S216" s="511">
        <f>S17+S26+S29+S44+S52+S61+S73+S87+S91+S107+S123+S130+S141+S181+S189+S213</f>
        <v>30327932</v>
      </c>
      <c r="T216" s="527">
        <f>T17+T26+T29+T44+T52+T61+T73+T87+T91+T107+T123+T130+T141+T181+T189+T213</f>
        <v>30447140</v>
      </c>
      <c r="U216" s="521">
        <f t="shared" si="27"/>
        <v>1.0039306339779448</v>
      </c>
    </row>
    <row r="217" spans="1:21" ht="18" customHeight="1">
      <c r="A217" s="109"/>
      <c r="B217" s="806" t="s">
        <v>191</v>
      </c>
      <c r="C217" s="806"/>
      <c r="D217" s="806"/>
      <c r="E217" s="806"/>
      <c r="F217" s="110" t="e">
        <f>#REF!+#REF!+#REF!+#REF!+#REF!+#REF!</f>
        <v>#REF!</v>
      </c>
      <c r="G217" s="111" t="e">
        <f>#REF!+#REF!+#REF!+#REF!+#REF!+#REF!</f>
        <v>#REF!</v>
      </c>
      <c r="H217" s="112" t="e">
        <f>IF(F217&gt;0,G217/F217*100,"")</f>
        <v>#REF!</v>
      </c>
      <c r="I217" s="113" t="e">
        <f>F217/F216</f>
        <v>#REF!</v>
      </c>
      <c r="J217" s="114"/>
      <c r="K217" s="114" t="e">
        <f>#REF!+#REF!+#REF!+#REF!+#REF!+#REF!</f>
        <v>#REF!</v>
      </c>
      <c r="L217" s="114" t="e">
        <f>#REF!+#REF!+#REF!+#REF!+#REF!+#REF!</f>
        <v>#REF!</v>
      </c>
      <c r="M217" s="115" t="e">
        <f>#REF!+#REF!+#REF!+#REF!+#REF!+#REF!+#REF!+#REF!+#REF!</f>
        <v>#REF!</v>
      </c>
      <c r="N217" s="115" t="e">
        <f>#REF!+#REF!+#REF!+#REF!+#REF!+#REF!+#REF!+#REF!+#REF!</f>
        <v>#REF!</v>
      </c>
      <c r="O217" s="115" t="e">
        <f>#REF!+#REF!+#REF!+#REF!+#REF!+#REF!+#REF!+#REF!+#REF!</f>
        <v>#REF!</v>
      </c>
      <c r="P217" s="115" t="e">
        <f>#REF!+#REF!+#REF!+#REF!+#REF!+#REF!+#REF!</f>
        <v>#REF!</v>
      </c>
      <c r="Q217" s="115" t="e">
        <f>#REF!+#REF!+#REF!+#REF!+#REF!+#REF!+#REF!</f>
        <v>#REF!</v>
      </c>
      <c r="R217" s="322" t="e">
        <f>#REF!+#REF!+#REF!+#REF!+#REF!+#REF!+#REF!</f>
        <v>#REF!</v>
      </c>
      <c r="S217" s="512">
        <f>S218+S219+S221+S222+S223</f>
        <v>8859960</v>
      </c>
      <c r="T217" s="90">
        <f>T218+T219+T221+T222+T223</f>
        <v>8856900</v>
      </c>
      <c r="U217" s="784">
        <f t="shared" si="27"/>
        <v>0.9996546259802528</v>
      </c>
    </row>
    <row r="218" spans="1:21" ht="18.75" customHeight="1">
      <c r="A218" s="55"/>
      <c r="B218" s="807" t="s">
        <v>192</v>
      </c>
      <c r="C218" s="807"/>
      <c r="D218" s="807"/>
      <c r="E218" s="807"/>
      <c r="F218" s="34" t="e">
        <f>#REF!+#REF!</f>
        <v>#REF!</v>
      </c>
      <c r="G218" s="56" t="e">
        <f>#REF!+#REF!</f>
        <v>#REF!</v>
      </c>
      <c r="H218" s="36" t="e">
        <f>IF(F218&gt;0,G218/F218*100,"")</f>
        <v>#REF!</v>
      </c>
      <c r="I218" s="37" t="e">
        <f>F218/F216</f>
        <v>#REF!</v>
      </c>
      <c r="J218" s="33"/>
      <c r="K218" s="33" t="e">
        <f>#REF!</f>
        <v>#REF!</v>
      </c>
      <c r="L218" s="33" t="e">
        <f>#REF!</f>
        <v>#REF!</v>
      </c>
      <c r="M218" s="90" t="e">
        <f>#REF!</f>
        <v>#REF!</v>
      </c>
      <c r="N218" s="90" t="e">
        <f>#REF!</f>
        <v>#REF!</v>
      </c>
      <c r="O218" s="90" t="e">
        <f>#REF!</f>
        <v>#REF!</v>
      </c>
      <c r="P218" s="90" t="e">
        <f>#REF!</f>
        <v>#REF!</v>
      </c>
      <c r="Q218" s="90" t="e">
        <f>#REF!</f>
        <v>#REF!</v>
      </c>
      <c r="R218" s="323" t="e">
        <f>#REF!</f>
        <v>#REF!</v>
      </c>
      <c r="S218" s="512">
        <f>S122+S150+S178</f>
        <v>721410</v>
      </c>
      <c r="T218" s="90">
        <f>T122+T150+T178</f>
        <v>721410</v>
      </c>
      <c r="U218" s="518">
        <f t="shared" si="27"/>
        <v>1</v>
      </c>
    </row>
    <row r="219" spans="1:21" ht="18.75" customHeight="1">
      <c r="A219" s="55"/>
      <c r="B219" s="807" t="s">
        <v>656</v>
      </c>
      <c r="C219" s="807"/>
      <c r="D219" s="807"/>
      <c r="E219" s="807"/>
      <c r="F219" s="34" t="e">
        <f>#REF!</f>
        <v>#REF!</v>
      </c>
      <c r="G219" s="56" t="e">
        <f>#REF!</f>
        <v>#REF!</v>
      </c>
      <c r="H219" s="36" t="e">
        <f>IF(F219&gt;0,G219/F219*100,"")</f>
        <v>#REF!</v>
      </c>
      <c r="I219" s="37" t="e">
        <f>F219/F216</f>
        <v>#REF!</v>
      </c>
      <c r="J219" s="33"/>
      <c r="K219" s="33" t="e">
        <f>#REF!</f>
        <v>#REF!</v>
      </c>
      <c r="L219" s="33" t="e">
        <f>#REF!</f>
        <v>#REF!</v>
      </c>
      <c r="M219" s="90" t="e">
        <f>#REF!</f>
        <v>#REF!</v>
      </c>
      <c r="N219" s="90" t="e">
        <f>#REF!</f>
        <v>#REF!</v>
      </c>
      <c r="O219" s="90" t="e">
        <f>#REF!</f>
        <v>#REF!</v>
      </c>
      <c r="P219" s="90" t="e">
        <f>#REF!</f>
        <v>#REF!</v>
      </c>
      <c r="Q219" s="90" t="e">
        <f>#REF!</f>
        <v>#REF!</v>
      </c>
      <c r="R219" s="323" t="e">
        <f>#REF!</f>
        <v>#REF!</v>
      </c>
      <c r="S219" s="512">
        <f>S21+S51+S54+S56+S59+S60+S63+S72+S76+S86+S140+S172</f>
        <v>2984579</v>
      </c>
      <c r="T219" s="90">
        <f>T21+T51+T54+T56+T59+T60+T63+T72+T76+T86+T140+T172</f>
        <v>2984574</v>
      </c>
      <c r="U219" s="518">
        <f t="shared" si="27"/>
        <v>0.9999983247218452</v>
      </c>
    </row>
    <row r="220" spans="1:21" ht="16.5" customHeight="1" hidden="1">
      <c r="A220" s="55"/>
      <c r="B220" s="95" t="s">
        <v>193</v>
      </c>
      <c r="C220" s="33"/>
      <c r="D220" s="33"/>
      <c r="E220" s="33"/>
      <c r="F220" s="34"/>
      <c r="G220" s="56" t="e">
        <f>#REF!+#REF!</f>
        <v>#REF!</v>
      </c>
      <c r="H220" s="36"/>
      <c r="I220" s="37"/>
      <c r="J220" s="33"/>
      <c r="K220" s="33" t="e">
        <f>#REF!+#REF!</f>
        <v>#REF!</v>
      </c>
      <c r="L220" s="33" t="e">
        <f>#REF!+#REF!</f>
        <v>#REF!</v>
      </c>
      <c r="M220" s="90" t="e">
        <f>#REF!+#REF!</f>
        <v>#REF!</v>
      </c>
      <c r="N220" s="90" t="e">
        <f>#REF!+#REF!</f>
        <v>#REF!</v>
      </c>
      <c r="O220" s="90" t="e">
        <f>#REF!+#REF!</f>
        <v>#REF!</v>
      </c>
      <c r="P220" s="90" t="e">
        <f>#REF!+#REF!</f>
        <v>#REF!</v>
      </c>
      <c r="Q220" s="90" t="e">
        <f>#REF!+#REF!</f>
        <v>#REF!</v>
      </c>
      <c r="R220" s="323" t="e">
        <f>#REF!+#REF!</f>
        <v>#REF!</v>
      </c>
      <c r="S220" s="274"/>
      <c r="T220" s="320" t="e">
        <f>T221+#REF!+#REF!</f>
        <v>#REF!</v>
      </c>
      <c r="U220" s="518" t="e">
        <f t="shared" si="27"/>
        <v>#REF!</v>
      </c>
    </row>
    <row r="221" spans="1:21" ht="17.25" customHeight="1">
      <c r="A221" s="55"/>
      <c r="B221" s="802" t="s">
        <v>194</v>
      </c>
      <c r="C221" s="802"/>
      <c r="D221" s="802"/>
      <c r="E221" s="802"/>
      <c r="F221" s="34" t="e">
        <f>#REF!+#REF!+#REF!</f>
        <v>#REF!</v>
      </c>
      <c r="G221" s="56" t="e">
        <f>#REF!+#REF!</f>
        <v>#REF!</v>
      </c>
      <c r="H221" s="36" t="e">
        <f>IF(F221&gt;0,G221/F221*100,"")</f>
        <v>#REF!</v>
      </c>
      <c r="I221" s="37" t="e">
        <f>F221/F216</f>
        <v>#REF!</v>
      </c>
      <c r="J221" s="33"/>
      <c r="K221" s="33" t="e">
        <f>#REF!+#REF!</f>
        <v>#REF!</v>
      </c>
      <c r="L221" s="33" t="e">
        <f>#REF!+#REF!</f>
        <v>#REF!</v>
      </c>
      <c r="M221" s="90" t="e">
        <f>#REF!+#REF!+#REF!+#REF!</f>
        <v>#REF!</v>
      </c>
      <c r="N221" s="90" t="e">
        <f>#REF!+#REF!+#REF!+#REF!</f>
        <v>#REF!</v>
      </c>
      <c r="O221" s="90" t="e">
        <f>#REF!+#REF!+#REF!+#REF!</f>
        <v>#REF!</v>
      </c>
      <c r="P221" s="90" t="e">
        <f>#REF!+#REF!+#REF!</f>
        <v>#REF!</v>
      </c>
      <c r="Q221" s="90" t="e">
        <f>#REF!+#REF!+#REF!</f>
        <v>#REF!</v>
      </c>
      <c r="R221" s="323" t="e">
        <f>#REF!+#REF!+#REF!</f>
        <v>#REF!</v>
      </c>
      <c r="S221" s="512">
        <f>S38+S42+S43+S77+S126+S127+S128+S129+S135+S145+S170+S209+S210+S211+S212</f>
        <v>1235489</v>
      </c>
      <c r="T221" s="90">
        <f>T38+T42+T43+T77+T126+T127+T128+T129+T135+T145+T170+T209+T210+T211+T212</f>
        <v>1234988</v>
      </c>
      <c r="U221" s="518">
        <f t="shared" si="27"/>
        <v>0.9995944925450571</v>
      </c>
    </row>
    <row r="222" spans="1:21" ht="21" customHeight="1">
      <c r="A222" s="55"/>
      <c r="B222" s="802" t="s">
        <v>195</v>
      </c>
      <c r="C222" s="802"/>
      <c r="D222" s="802"/>
      <c r="E222" s="802"/>
      <c r="F222" s="34"/>
      <c r="G222" s="56"/>
      <c r="H222" s="36"/>
      <c r="I222" s="37"/>
      <c r="J222" s="33"/>
      <c r="K222" s="33"/>
      <c r="L222" s="33"/>
      <c r="M222" s="90"/>
      <c r="N222" s="90"/>
      <c r="O222" s="90"/>
      <c r="P222" s="90"/>
      <c r="Q222" s="90"/>
      <c r="R222" s="323"/>
      <c r="S222" s="512">
        <f>S23+S184+S185+S215</f>
        <v>216454</v>
      </c>
      <c r="T222" s="90">
        <f>T23+T184+T185+T215</f>
        <v>216454</v>
      </c>
      <c r="U222" s="518">
        <f t="shared" si="27"/>
        <v>1</v>
      </c>
    </row>
    <row r="223" spans="1:21" ht="18.75" customHeight="1" thickBot="1">
      <c r="A223" s="55"/>
      <c r="B223" s="803" t="s">
        <v>196</v>
      </c>
      <c r="C223" s="803"/>
      <c r="D223" s="803"/>
      <c r="E223" s="803"/>
      <c r="F223" s="259"/>
      <c r="G223" s="259"/>
      <c r="H223" s="259"/>
      <c r="I223" s="259"/>
      <c r="J223" s="259"/>
      <c r="K223" s="259"/>
      <c r="L223" s="259"/>
      <c r="M223" s="365" t="e">
        <f>#REF!</f>
        <v>#REF!</v>
      </c>
      <c r="N223" s="365" t="e">
        <f>#REF!</f>
        <v>#REF!</v>
      </c>
      <c r="O223" s="365" t="e">
        <f>#REF!</f>
        <v>#REF!</v>
      </c>
      <c r="P223" s="365" t="e">
        <f>#REF!+#REF!</f>
        <v>#REF!</v>
      </c>
      <c r="Q223" s="365" t="e">
        <f>#REF!+#REF!</f>
        <v>#REF!</v>
      </c>
      <c r="R223" s="366" t="e">
        <f>#REF!+#REF!</f>
        <v>#REF!</v>
      </c>
      <c r="S223" s="513">
        <f>S28+S40+S41+S134+S176+S180</f>
        <v>3702028</v>
      </c>
      <c r="T223" s="365">
        <f>T28+T40+T41+T134+T176+T180</f>
        <v>3699474</v>
      </c>
      <c r="U223" s="520">
        <f t="shared" si="27"/>
        <v>0.9993101078652026</v>
      </c>
    </row>
    <row r="224" spans="1:21" ht="14.25" customHeight="1" thickBot="1">
      <c r="A224" s="309"/>
      <c r="B224" s="804" t="s">
        <v>197</v>
      </c>
      <c r="C224" s="805"/>
      <c r="D224" s="805"/>
      <c r="E224" s="805"/>
      <c r="F224" s="367"/>
      <c r="G224" s="367"/>
      <c r="H224" s="367"/>
      <c r="I224" s="367"/>
      <c r="J224" s="367"/>
      <c r="K224" s="367"/>
      <c r="L224" s="367"/>
      <c r="M224" s="367"/>
      <c r="N224" s="367"/>
      <c r="O224" s="367"/>
      <c r="P224" s="367"/>
      <c r="Q224" s="367"/>
      <c r="R224" s="368"/>
      <c r="S224" s="514">
        <f>S25+S31+S32+S33+S34+S35+S36+S37+S39+S46+S47+S48+S49+S50+S58+S65+S66+S67+S69+S70+S75+S89+S90+S100+S101+S109+S110+S113+S114+S116+S117+S118+S119+S120+S125+S132+S133+S143+S144+S147+S148+S149+S152+S174+S175+S183+S187+S188+S191+S192+S193+S194+S195+S198+S199+S200+S201+S203+S204+S205+S206+S208</f>
        <v>4850024</v>
      </c>
      <c r="T224" s="319">
        <f>T25+T31+T32+T33+T34+T35+T36+T37+T39+T46+T47+T48+T49+T50+T58+T65+T66+T67+T69+T70+T75+T89+T90+T100+T101+T109+T110+T113+T114+T116+T117+T118+T119+T120+T125+T132+T133+T143+T144+T147+T148+T149+T152+T174+T175+T183+T187+T188+T191+T192+T193+T194+T195+T198+T199+T200+T201+T203+T204+T205+T206+T208</f>
        <v>4972292</v>
      </c>
      <c r="U224" s="522">
        <f t="shared" si="27"/>
        <v>1.0252097721578286</v>
      </c>
    </row>
    <row r="225" spans="20:21" ht="14.25" customHeight="1">
      <c r="T225" s="524"/>
      <c r="U225" s="117"/>
    </row>
    <row r="226" spans="16:21" ht="12.75">
      <c r="P226" t="s">
        <v>198</v>
      </c>
      <c r="T226" s="524"/>
      <c r="U226" s="117"/>
    </row>
    <row r="227" spans="20:21" ht="12.75">
      <c r="T227" s="524"/>
      <c r="U227" s="117"/>
    </row>
    <row r="228" spans="20:21" ht="12.75">
      <c r="T228" s="524"/>
      <c r="U228" s="117"/>
    </row>
    <row r="229" spans="20:21" ht="12.75">
      <c r="T229" s="524"/>
      <c r="U229" s="117"/>
    </row>
    <row r="230" spans="20:21" ht="12.75">
      <c r="T230" s="524"/>
      <c r="U230" s="117"/>
    </row>
    <row r="231" spans="20:21" ht="12.75">
      <c r="T231" s="524"/>
      <c r="U231" s="117"/>
    </row>
    <row r="232" spans="20:21" ht="12.75">
      <c r="T232" s="524"/>
      <c r="U232" s="117"/>
    </row>
    <row r="233" ht="12.75">
      <c r="T233" s="524"/>
    </row>
    <row r="234" ht="12.75">
      <c r="T234" s="524"/>
    </row>
    <row r="235" ht="12.75">
      <c r="T235" s="524"/>
    </row>
    <row r="236" ht="12.75">
      <c r="T236" s="524"/>
    </row>
    <row r="237" ht="12.75">
      <c r="T237" s="524"/>
    </row>
    <row r="238" ht="12.75">
      <c r="T238" s="524"/>
    </row>
    <row r="239" ht="12.75">
      <c r="T239" s="524"/>
    </row>
    <row r="240" ht="12.75">
      <c r="T240" s="524"/>
    </row>
    <row r="241" ht="12.75">
      <c r="T241" s="524"/>
    </row>
    <row r="242" ht="12.75">
      <c r="T242" s="524"/>
    </row>
    <row r="243" ht="12.75">
      <c r="T243" s="524"/>
    </row>
    <row r="244" ht="12.75">
      <c r="T244" s="524"/>
    </row>
    <row r="245" ht="12.75">
      <c r="T245" s="524"/>
    </row>
    <row r="246" ht="12.75">
      <c r="T246" s="524"/>
    </row>
    <row r="247" ht="12.75">
      <c r="T247" s="524"/>
    </row>
    <row r="248" ht="12.75">
      <c r="T248" s="524"/>
    </row>
    <row r="249" ht="12.75">
      <c r="T249" s="524"/>
    </row>
    <row r="250" ht="12.75">
      <c r="T250" s="524"/>
    </row>
    <row r="251" ht="12.75">
      <c r="T251" s="524"/>
    </row>
    <row r="252" ht="12.75">
      <c r="T252" s="524"/>
    </row>
    <row r="253" ht="12.75">
      <c r="T253" s="524"/>
    </row>
    <row r="254" ht="12.75">
      <c r="T254" s="524"/>
    </row>
    <row r="255" ht="12.75">
      <c r="T255" s="524"/>
    </row>
    <row r="256" ht="12.75">
      <c r="T256" s="524"/>
    </row>
    <row r="257" ht="12.75">
      <c r="T257" s="524"/>
    </row>
    <row r="258" ht="12.75">
      <c r="T258" s="524"/>
    </row>
    <row r="259" ht="12.75">
      <c r="T259" s="524"/>
    </row>
    <row r="260" ht="12.75">
      <c r="T260" s="524"/>
    </row>
    <row r="261" ht="12.75">
      <c r="T261" s="524"/>
    </row>
    <row r="262" ht="12.75">
      <c r="T262" s="524"/>
    </row>
    <row r="263" ht="12.75">
      <c r="T263" s="524"/>
    </row>
    <row r="264" ht="12.75">
      <c r="T264" s="524"/>
    </row>
    <row r="265" ht="12.75">
      <c r="T265" s="524"/>
    </row>
    <row r="266" ht="12.75">
      <c r="T266" s="524"/>
    </row>
    <row r="267" ht="12.75">
      <c r="T267" s="524"/>
    </row>
    <row r="268" ht="12.75">
      <c r="T268" s="524"/>
    </row>
    <row r="269" ht="12.75">
      <c r="T269" s="524"/>
    </row>
    <row r="270" ht="12.75">
      <c r="T270" s="524"/>
    </row>
    <row r="271" ht="12.75">
      <c r="T271" s="524"/>
    </row>
    <row r="272" ht="12.75">
      <c r="T272" s="524"/>
    </row>
    <row r="273" ht="12.75">
      <c r="T273" s="524"/>
    </row>
    <row r="274" ht="12.75">
      <c r="T274" s="524"/>
    </row>
    <row r="275" ht="12.75">
      <c r="T275" s="524"/>
    </row>
    <row r="276" ht="12.75">
      <c r="T276" s="524"/>
    </row>
    <row r="277" ht="12.75">
      <c r="T277" s="524"/>
    </row>
    <row r="278" ht="12.75">
      <c r="T278" s="524"/>
    </row>
    <row r="279" ht="12.75">
      <c r="T279" s="524"/>
    </row>
    <row r="280" ht="12.75">
      <c r="T280" s="524"/>
    </row>
    <row r="281" ht="12.75">
      <c r="T281" s="524"/>
    </row>
    <row r="282" ht="12.75">
      <c r="T282" s="524"/>
    </row>
    <row r="283" ht="12.75">
      <c r="T283" s="524"/>
    </row>
    <row r="284" ht="12.75">
      <c r="T284" s="524"/>
    </row>
    <row r="285" spans="5:21" ht="12.75"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524"/>
      <c r="U285" s="29"/>
    </row>
    <row r="286" spans="5:21" ht="12.75"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524"/>
      <c r="U286" s="29"/>
    </row>
    <row r="287" spans="5:21" ht="12.75"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524"/>
      <c r="U287" s="29"/>
    </row>
    <row r="288" spans="5:21" ht="12.75"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524"/>
      <c r="U288" s="29"/>
    </row>
    <row r="289" spans="5:21" ht="12.75"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524"/>
      <c r="U289" s="29"/>
    </row>
    <row r="290" spans="5:21" ht="12.75"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524"/>
      <c r="U290" s="29"/>
    </row>
    <row r="291" spans="5:21" ht="12.75"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524"/>
      <c r="U291" s="29"/>
    </row>
    <row r="292" spans="5:21" ht="12.75"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524"/>
      <c r="U292" s="29"/>
    </row>
    <row r="293" spans="5:21" ht="12.75"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524"/>
      <c r="U293" s="29"/>
    </row>
    <row r="294" spans="5:21" ht="12.75"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524"/>
      <c r="U294" s="29"/>
    </row>
    <row r="295" spans="5:21" ht="12.75"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524"/>
      <c r="U295" s="29"/>
    </row>
    <row r="296" spans="5:21" ht="12.75"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524"/>
      <c r="U296" s="29"/>
    </row>
    <row r="297" spans="5:21" ht="12.75"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524"/>
      <c r="U297" s="29"/>
    </row>
    <row r="298" spans="5:21" ht="12.75"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524"/>
      <c r="U298" s="29"/>
    </row>
    <row r="299" spans="5:21" ht="12.75"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524"/>
      <c r="U299" s="29"/>
    </row>
    <row r="300" ht="12.75">
      <c r="T300" s="524"/>
    </row>
    <row r="301" ht="12.75">
      <c r="T301" s="524"/>
    </row>
    <row r="302" ht="12.75">
      <c r="T302" s="524"/>
    </row>
    <row r="303" ht="12.75">
      <c r="T303" s="524"/>
    </row>
    <row r="304" ht="12.75">
      <c r="T304" s="524"/>
    </row>
    <row r="305" ht="12.75">
      <c r="T305" s="524"/>
    </row>
    <row r="306" ht="12.75">
      <c r="T306" s="524"/>
    </row>
    <row r="307" ht="12.75">
      <c r="T307" s="524"/>
    </row>
    <row r="308" ht="12.75">
      <c r="T308" s="524"/>
    </row>
    <row r="309" ht="12.75">
      <c r="T309" s="524"/>
    </row>
    <row r="310" ht="12.75">
      <c r="T310" s="524"/>
    </row>
    <row r="311" ht="12.75">
      <c r="T311" s="524"/>
    </row>
    <row r="312" ht="12.75">
      <c r="T312" s="524"/>
    </row>
    <row r="313" ht="12.75">
      <c r="T313" s="524"/>
    </row>
    <row r="314" ht="12.75">
      <c r="T314" s="524"/>
    </row>
    <row r="315" ht="12.75">
      <c r="T315" s="524"/>
    </row>
    <row r="316" ht="12.75">
      <c r="T316" s="524"/>
    </row>
    <row r="317" ht="12.75">
      <c r="T317" s="524"/>
    </row>
    <row r="318" ht="12.75">
      <c r="T318" s="524"/>
    </row>
    <row r="319" ht="12.75">
      <c r="T319" s="524"/>
    </row>
    <row r="320" ht="12.75">
      <c r="T320" s="524"/>
    </row>
    <row r="321" ht="12.75">
      <c r="T321" s="524"/>
    </row>
    <row r="322" ht="12.75">
      <c r="T322" s="524"/>
    </row>
    <row r="323" ht="12.75">
      <c r="T323" s="524"/>
    </row>
    <row r="324" ht="12.75">
      <c r="T324" s="524"/>
    </row>
    <row r="325" ht="12.75">
      <c r="T325" s="524"/>
    </row>
    <row r="326" ht="12.75">
      <c r="T326" s="524"/>
    </row>
    <row r="327" ht="12.75">
      <c r="T327" s="524"/>
    </row>
    <row r="328" ht="12.75">
      <c r="T328" s="524"/>
    </row>
    <row r="329" ht="12.75">
      <c r="T329" s="524"/>
    </row>
    <row r="330" ht="12.75">
      <c r="T330" s="524"/>
    </row>
    <row r="331" ht="12.75">
      <c r="T331" s="524"/>
    </row>
    <row r="332" ht="12.75">
      <c r="T332" s="524"/>
    </row>
    <row r="333" ht="12.75">
      <c r="T333" s="524"/>
    </row>
    <row r="334" ht="12.75">
      <c r="T334" s="524"/>
    </row>
    <row r="335" ht="12.75">
      <c r="T335" s="524"/>
    </row>
    <row r="336" ht="12.75">
      <c r="T336" s="524"/>
    </row>
    <row r="337" ht="12.75">
      <c r="T337" s="524"/>
    </row>
    <row r="338" ht="12.75">
      <c r="T338" s="524"/>
    </row>
    <row r="339" spans="20:21" ht="12.75">
      <c r="T339" s="524"/>
      <c r="U339" s="93"/>
    </row>
    <row r="340" spans="20:21" ht="12.75">
      <c r="T340" s="524"/>
      <c r="U340" s="93"/>
    </row>
    <row r="341" spans="20:21" ht="12.75">
      <c r="T341" s="524"/>
      <c r="U341" s="93"/>
    </row>
    <row r="342" spans="20:21" ht="12.75">
      <c r="T342" s="524"/>
      <c r="U342" s="93"/>
    </row>
    <row r="343" spans="20:21" ht="12.75">
      <c r="T343" s="524"/>
      <c r="U343" s="93"/>
    </row>
    <row r="344" spans="20:21" ht="12.75">
      <c r="T344" s="524"/>
      <c r="U344" s="93"/>
    </row>
    <row r="345" spans="20:21" ht="12.75">
      <c r="T345" s="524"/>
      <c r="U345" s="93"/>
    </row>
    <row r="346" spans="20:21" ht="12.75">
      <c r="T346" s="524"/>
      <c r="U346" s="93"/>
    </row>
    <row r="347" spans="20:21" ht="12.75">
      <c r="T347" s="524"/>
      <c r="U347" s="93"/>
    </row>
    <row r="348" spans="20:21" ht="12.75">
      <c r="T348" s="524"/>
      <c r="U348" s="93"/>
    </row>
    <row r="349" spans="20:21" ht="12.75">
      <c r="T349" s="524"/>
      <c r="U349" s="93"/>
    </row>
    <row r="350" spans="20:21" ht="12.75">
      <c r="T350" s="524"/>
      <c r="U350" s="93"/>
    </row>
    <row r="351" spans="20:21" ht="12.75">
      <c r="T351" s="524"/>
      <c r="U351" s="93"/>
    </row>
    <row r="352" spans="20:21" ht="12.75">
      <c r="T352" s="524"/>
      <c r="U352" s="93"/>
    </row>
    <row r="353" spans="20:21" ht="12.75">
      <c r="T353" s="524"/>
      <c r="U353" s="93"/>
    </row>
    <row r="354" spans="20:21" ht="12.75">
      <c r="T354" s="524"/>
      <c r="U354" s="93"/>
    </row>
    <row r="355" spans="20:21" ht="12.75">
      <c r="T355" s="524"/>
      <c r="U355" s="93"/>
    </row>
    <row r="356" spans="20:21" ht="12.75">
      <c r="T356" s="524"/>
      <c r="U356" s="93"/>
    </row>
    <row r="357" spans="20:21" ht="12.75">
      <c r="T357" s="524"/>
      <c r="U357" s="93"/>
    </row>
    <row r="358" spans="20:21" ht="12.75">
      <c r="T358" s="524"/>
      <c r="U358" s="93"/>
    </row>
    <row r="359" spans="20:21" ht="12.75">
      <c r="T359" s="524"/>
      <c r="U359" s="93"/>
    </row>
    <row r="360" spans="20:21" ht="12.75">
      <c r="T360" s="524"/>
      <c r="U360" s="93"/>
    </row>
    <row r="361" spans="20:21" ht="12.75">
      <c r="T361" s="524"/>
      <c r="U361" s="93"/>
    </row>
    <row r="362" spans="20:21" ht="12.75">
      <c r="T362" s="524"/>
      <c r="U362" s="93"/>
    </row>
    <row r="363" ht="12.75">
      <c r="T363" s="524"/>
    </row>
    <row r="364" ht="12.75">
      <c r="T364" s="524"/>
    </row>
    <row r="365" ht="12.75">
      <c r="T365" s="524"/>
    </row>
    <row r="366" ht="12.75">
      <c r="T366" s="524"/>
    </row>
    <row r="367" ht="12.75">
      <c r="T367" s="524"/>
    </row>
    <row r="368" ht="12.75">
      <c r="T368" s="524"/>
    </row>
    <row r="369" ht="12.75">
      <c r="T369" s="524"/>
    </row>
    <row r="370" ht="12.75">
      <c r="T370" s="524"/>
    </row>
    <row r="371" ht="12.75">
      <c r="T371" s="524"/>
    </row>
    <row r="372" ht="12.75">
      <c r="T372" s="524"/>
    </row>
    <row r="373" ht="12.75">
      <c r="T373" s="524"/>
    </row>
    <row r="374" ht="12.75">
      <c r="T374" s="524"/>
    </row>
    <row r="375" ht="12.75">
      <c r="T375" s="524"/>
    </row>
    <row r="376" ht="12.75">
      <c r="T376" s="524"/>
    </row>
    <row r="377" ht="12.75">
      <c r="T377" s="524"/>
    </row>
    <row r="378" ht="12.75">
      <c r="T378" s="524"/>
    </row>
    <row r="379" ht="12.75">
      <c r="T379" s="524"/>
    </row>
    <row r="380" ht="12.75">
      <c r="T380" s="524"/>
    </row>
    <row r="381" ht="12.75">
      <c r="T381" s="524"/>
    </row>
    <row r="382" ht="12.75">
      <c r="T382" s="524"/>
    </row>
    <row r="383" ht="12.75">
      <c r="T383" s="524"/>
    </row>
    <row r="384" ht="12.75">
      <c r="T384" s="524"/>
    </row>
    <row r="385" ht="12.75">
      <c r="T385" s="524"/>
    </row>
    <row r="386" ht="12.75">
      <c r="T386" s="524"/>
    </row>
    <row r="387" ht="12.75">
      <c r="T387" s="524"/>
    </row>
    <row r="388" ht="12.75">
      <c r="T388" s="524"/>
    </row>
    <row r="389" ht="12.75">
      <c r="T389" s="524"/>
    </row>
    <row r="390" ht="12.75">
      <c r="T390" s="524"/>
    </row>
    <row r="391" ht="12.75">
      <c r="T391" s="524"/>
    </row>
    <row r="392" ht="12.75">
      <c r="T392" s="524"/>
    </row>
    <row r="393" ht="12.75">
      <c r="T393" s="524"/>
    </row>
    <row r="394" ht="12.75">
      <c r="T394" s="524"/>
    </row>
    <row r="395" ht="12.75">
      <c r="T395" s="524"/>
    </row>
    <row r="396" ht="12.75">
      <c r="T396" s="524"/>
    </row>
    <row r="397" ht="12.75">
      <c r="T397" s="524"/>
    </row>
    <row r="398" ht="12.75">
      <c r="T398" s="524"/>
    </row>
    <row r="399" ht="12.75">
      <c r="T399" s="524"/>
    </row>
    <row r="400" ht="12.75">
      <c r="T400" s="524"/>
    </row>
    <row r="401" ht="12.75">
      <c r="T401" s="524"/>
    </row>
    <row r="402" ht="12.75">
      <c r="T402" s="524"/>
    </row>
    <row r="403" ht="12.75">
      <c r="T403" s="524"/>
    </row>
    <row r="404" ht="12.75">
      <c r="T404" s="524"/>
    </row>
    <row r="405" ht="12.75">
      <c r="T405" s="524"/>
    </row>
    <row r="406" ht="12.75">
      <c r="T406" s="524"/>
    </row>
    <row r="407" ht="12.75">
      <c r="T407" s="524"/>
    </row>
    <row r="408" ht="12.75">
      <c r="T408" s="524"/>
    </row>
    <row r="409" ht="12.75">
      <c r="T409" s="524"/>
    </row>
    <row r="410" ht="12.75">
      <c r="T410" s="524"/>
    </row>
    <row r="411" ht="12.75">
      <c r="T411" s="524"/>
    </row>
    <row r="412" ht="12.75">
      <c r="T412" s="524"/>
    </row>
    <row r="413" ht="12.75">
      <c r="T413" s="524"/>
    </row>
    <row r="414" ht="12.75">
      <c r="T414" s="524"/>
    </row>
    <row r="415" ht="12.75">
      <c r="T415" s="524"/>
    </row>
    <row r="416" ht="12.75">
      <c r="T416" s="524"/>
    </row>
    <row r="417" ht="12.75">
      <c r="T417" s="524"/>
    </row>
    <row r="418" ht="12.75">
      <c r="T418" s="524"/>
    </row>
    <row r="419" ht="12.75">
      <c r="T419" s="524"/>
    </row>
    <row r="420" ht="12.75">
      <c r="T420" s="524"/>
    </row>
    <row r="421" ht="12.75">
      <c r="T421" s="524"/>
    </row>
    <row r="422" ht="12.75">
      <c r="T422" s="524"/>
    </row>
    <row r="423" ht="12.75">
      <c r="T423" s="524"/>
    </row>
    <row r="424" ht="12.75">
      <c r="T424" s="524"/>
    </row>
    <row r="425" ht="12.75">
      <c r="T425" s="524"/>
    </row>
    <row r="426" ht="12.75">
      <c r="T426" s="524"/>
    </row>
    <row r="427" ht="12.75">
      <c r="T427" s="524"/>
    </row>
    <row r="428" ht="12.75">
      <c r="T428" s="524"/>
    </row>
    <row r="429" ht="12.75">
      <c r="T429" s="524"/>
    </row>
    <row r="430" ht="12.75">
      <c r="T430" s="524"/>
    </row>
    <row r="431" ht="12.75">
      <c r="T431" s="524"/>
    </row>
    <row r="432" ht="12.75">
      <c r="T432" s="524"/>
    </row>
    <row r="433" ht="12.75">
      <c r="T433" s="524"/>
    </row>
    <row r="434" ht="12.75">
      <c r="T434" s="524"/>
    </row>
    <row r="435" ht="12.75">
      <c r="T435" s="524"/>
    </row>
    <row r="436" ht="12.75">
      <c r="T436" s="524"/>
    </row>
    <row r="437" ht="12.75">
      <c r="T437" s="524"/>
    </row>
    <row r="438" ht="12.75">
      <c r="T438" s="524"/>
    </row>
    <row r="439" ht="12.75">
      <c r="T439" s="524"/>
    </row>
    <row r="440" ht="12.75">
      <c r="T440" s="524"/>
    </row>
    <row r="441" ht="12.75">
      <c r="T441" s="524"/>
    </row>
    <row r="442" ht="12.75">
      <c r="T442" s="524"/>
    </row>
    <row r="443" ht="12.75">
      <c r="T443" s="524"/>
    </row>
    <row r="444" ht="12.75">
      <c r="T444" s="524"/>
    </row>
    <row r="445" ht="12.75">
      <c r="T445" s="524"/>
    </row>
    <row r="446" ht="12.75">
      <c r="T446" s="524"/>
    </row>
    <row r="447" ht="12.75">
      <c r="T447" s="524"/>
    </row>
    <row r="448" ht="12.75">
      <c r="T448" s="524"/>
    </row>
    <row r="449" ht="12.75">
      <c r="T449" s="524"/>
    </row>
    <row r="450" ht="12.75">
      <c r="T450" s="524"/>
    </row>
    <row r="451" ht="12.75">
      <c r="T451" s="524"/>
    </row>
    <row r="452" ht="12.75">
      <c r="T452" s="524"/>
    </row>
    <row r="453" ht="12.75">
      <c r="T453" s="524"/>
    </row>
    <row r="454" ht="12.75">
      <c r="T454" s="524"/>
    </row>
    <row r="455" ht="12.75">
      <c r="T455" s="524"/>
    </row>
    <row r="456" ht="12.75">
      <c r="T456" s="524"/>
    </row>
    <row r="457" ht="12.75">
      <c r="T457" s="524"/>
    </row>
    <row r="458" ht="12.75">
      <c r="T458" s="524"/>
    </row>
    <row r="459" ht="12.75">
      <c r="T459" s="524"/>
    </row>
    <row r="460" ht="12.75">
      <c r="T460" s="524"/>
    </row>
    <row r="461" ht="12.75">
      <c r="T461" s="524"/>
    </row>
    <row r="462" ht="12.75">
      <c r="T462" s="524"/>
    </row>
    <row r="463" ht="12.75">
      <c r="T463" s="524"/>
    </row>
    <row r="464" ht="12.75">
      <c r="T464" s="524"/>
    </row>
    <row r="465" ht="12.75">
      <c r="T465" s="524"/>
    </row>
    <row r="466" ht="12.75">
      <c r="T466" s="524"/>
    </row>
    <row r="467" ht="12.75">
      <c r="T467" s="524"/>
    </row>
    <row r="468" ht="12.75">
      <c r="T468" s="524"/>
    </row>
    <row r="469" ht="12.75">
      <c r="T469" s="524"/>
    </row>
    <row r="470" ht="12.75">
      <c r="T470" s="524"/>
    </row>
    <row r="471" ht="12.75">
      <c r="T471" s="524"/>
    </row>
    <row r="472" ht="12.75">
      <c r="T472" s="524"/>
    </row>
    <row r="473" ht="12.75">
      <c r="T473" s="524"/>
    </row>
    <row r="474" ht="12.75">
      <c r="T474" s="524"/>
    </row>
    <row r="475" ht="12.75">
      <c r="T475" s="524"/>
    </row>
    <row r="476" ht="12.75">
      <c r="T476" s="524"/>
    </row>
    <row r="477" ht="12.75">
      <c r="T477" s="524"/>
    </row>
    <row r="478" ht="12.75">
      <c r="T478" s="524"/>
    </row>
    <row r="479" ht="12.75">
      <c r="T479" s="524"/>
    </row>
    <row r="480" ht="12.75">
      <c r="T480" s="524"/>
    </row>
    <row r="481" ht="12.75">
      <c r="T481" s="524"/>
    </row>
    <row r="482" ht="12.75">
      <c r="T482" s="524"/>
    </row>
    <row r="483" ht="12.75">
      <c r="T483" s="524"/>
    </row>
    <row r="484" ht="12.75">
      <c r="T484" s="524"/>
    </row>
    <row r="485" ht="12.75">
      <c r="T485" s="524"/>
    </row>
    <row r="486" ht="12.75">
      <c r="T486" s="524"/>
    </row>
    <row r="487" ht="12.75">
      <c r="T487" s="524"/>
    </row>
    <row r="488" ht="12.75">
      <c r="T488" s="524"/>
    </row>
    <row r="489" ht="12.75">
      <c r="T489" s="524"/>
    </row>
    <row r="490" ht="12.75">
      <c r="T490" s="524"/>
    </row>
    <row r="491" ht="12.75">
      <c r="T491" s="524"/>
    </row>
    <row r="492" ht="12.75">
      <c r="T492" s="524"/>
    </row>
    <row r="493" ht="12.75">
      <c r="T493" s="524"/>
    </row>
    <row r="494" ht="12.75">
      <c r="T494" s="524"/>
    </row>
    <row r="495" ht="12.75">
      <c r="T495" s="524"/>
    </row>
    <row r="496" ht="12.75">
      <c r="T496" s="524"/>
    </row>
    <row r="497" ht="12.75">
      <c r="T497" s="524"/>
    </row>
    <row r="498" ht="12.75">
      <c r="T498" s="524"/>
    </row>
    <row r="499" ht="12.75">
      <c r="T499" s="524"/>
    </row>
    <row r="500" ht="12.75">
      <c r="T500" s="524"/>
    </row>
    <row r="501" ht="12.75">
      <c r="T501" s="524"/>
    </row>
    <row r="502" ht="12.75">
      <c r="T502" s="524"/>
    </row>
    <row r="503" ht="12.75">
      <c r="T503" s="524"/>
    </row>
    <row r="504" ht="12.75">
      <c r="T504" s="524"/>
    </row>
    <row r="505" ht="12.75">
      <c r="T505" s="524"/>
    </row>
    <row r="506" ht="12.75">
      <c r="T506" s="524"/>
    </row>
    <row r="507" ht="12.75">
      <c r="T507" s="524"/>
    </row>
    <row r="508" ht="12.75">
      <c r="T508" s="524"/>
    </row>
    <row r="509" ht="12.75">
      <c r="T509" s="524"/>
    </row>
    <row r="510" ht="12.75">
      <c r="T510" s="524"/>
    </row>
    <row r="511" ht="12.75">
      <c r="T511" s="524"/>
    </row>
    <row r="512" ht="12.75">
      <c r="T512" s="524"/>
    </row>
    <row r="513" ht="12.75">
      <c r="T513" s="524"/>
    </row>
    <row r="514" ht="12.75">
      <c r="T514" s="524"/>
    </row>
    <row r="515" ht="12.75">
      <c r="T515" s="524"/>
    </row>
    <row r="516" ht="12.75">
      <c r="T516" s="524"/>
    </row>
    <row r="517" ht="12.75">
      <c r="T517" s="524"/>
    </row>
    <row r="518" ht="12.75">
      <c r="T518" s="524"/>
    </row>
    <row r="519" ht="12.75">
      <c r="T519" s="524"/>
    </row>
    <row r="520" ht="12.75">
      <c r="T520" s="524"/>
    </row>
    <row r="521" ht="12.75">
      <c r="T521" s="524"/>
    </row>
    <row r="522" ht="12.75">
      <c r="T522" s="524"/>
    </row>
    <row r="523" ht="12.75">
      <c r="T523" s="524"/>
    </row>
    <row r="524" ht="12.75">
      <c r="T524" s="524"/>
    </row>
    <row r="525" ht="12.75">
      <c r="T525" s="524"/>
    </row>
    <row r="526" ht="12.75">
      <c r="T526" s="524"/>
    </row>
    <row r="527" ht="12.75">
      <c r="T527" s="524"/>
    </row>
    <row r="528" ht="12.75">
      <c r="T528" s="524"/>
    </row>
    <row r="529" ht="12.75">
      <c r="T529" s="524"/>
    </row>
    <row r="530" ht="12.75">
      <c r="T530" s="524"/>
    </row>
    <row r="531" ht="12.75">
      <c r="T531" s="524"/>
    </row>
    <row r="532" ht="12.75">
      <c r="T532" s="524"/>
    </row>
    <row r="533" ht="12.75">
      <c r="T533" s="524"/>
    </row>
    <row r="534" ht="12.75">
      <c r="T534" s="524"/>
    </row>
    <row r="535" ht="12.75">
      <c r="T535" s="524"/>
    </row>
    <row r="536" ht="12.75">
      <c r="T536" s="524"/>
    </row>
    <row r="537" ht="12.75">
      <c r="T537" s="524"/>
    </row>
    <row r="538" ht="12.75">
      <c r="T538" s="524"/>
    </row>
    <row r="539" ht="12.75">
      <c r="T539" s="524"/>
    </row>
    <row r="540" ht="12.75">
      <c r="T540" s="524"/>
    </row>
    <row r="541" ht="12.75">
      <c r="T541" s="524"/>
    </row>
    <row r="542" ht="12.75">
      <c r="T542" s="524"/>
    </row>
    <row r="543" ht="12.75">
      <c r="T543" s="524"/>
    </row>
    <row r="544" ht="12.75">
      <c r="T544" s="524"/>
    </row>
    <row r="545" ht="12.75">
      <c r="T545" s="524"/>
    </row>
    <row r="546" ht="12.75">
      <c r="T546" s="524"/>
    </row>
    <row r="547" ht="12.75">
      <c r="T547" s="524"/>
    </row>
    <row r="548" ht="12.75">
      <c r="T548" s="524"/>
    </row>
    <row r="549" ht="12.75">
      <c r="T549" s="524"/>
    </row>
    <row r="550" ht="12.75">
      <c r="T550" s="524"/>
    </row>
    <row r="551" ht="12.75">
      <c r="T551" s="524"/>
    </row>
    <row r="552" ht="12.75">
      <c r="T552" s="524"/>
    </row>
    <row r="553" ht="12.75">
      <c r="T553" s="524"/>
    </row>
    <row r="554" ht="12.75">
      <c r="T554" s="524"/>
    </row>
    <row r="555" ht="12.75">
      <c r="T555" s="524"/>
    </row>
    <row r="556" ht="12.75">
      <c r="T556" s="524"/>
    </row>
    <row r="557" ht="12.75">
      <c r="T557" s="524"/>
    </row>
    <row r="558" ht="12.75">
      <c r="T558" s="524"/>
    </row>
    <row r="559" ht="12.75">
      <c r="T559" s="524"/>
    </row>
    <row r="560" ht="12.75">
      <c r="T560" s="524"/>
    </row>
    <row r="561" ht="12.75">
      <c r="T561" s="524"/>
    </row>
    <row r="562" ht="12.75">
      <c r="T562" s="524"/>
    </row>
    <row r="563" ht="12.75">
      <c r="T563" s="524"/>
    </row>
    <row r="564" ht="12.75">
      <c r="T564" s="524"/>
    </row>
    <row r="565" ht="12.75">
      <c r="T565" s="524"/>
    </row>
    <row r="566" ht="12.75">
      <c r="T566" s="524"/>
    </row>
    <row r="567" ht="12.75">
      <c r="T567" s="524"/>
    </row>
    <row r="568" ht="12.75">
      <c r="T568" s="524"/>
    </row>
    <row r="569" ht="12.75">
      <c r="T569" s="524"/>
    </row>
    <row r="570" ht="12.75">
      <c r="T570" s="524"/>
    </row>
    <row r="571" ht="12.75">
      <c r="T571" s="524"/>
    </row>
    <row r="572" ht="12.75">
      <c r="T572" s="524"/>
    </row>
    <row r="573" ht="12.75">
      <c r="T573" s="524"/>
    </row>
    <row r="574" ht="12.75">
      <c r="T574" s="524"/>
    </row>
    <row r="575" ht="12.75">
      <c r="T575" s="524"/>
    </row>
    <row r="576" ht="12.75">
      <c r="T576" s="524"/>
    </row>
    <row r="577" ht="12.75">
      <c r="T577" s="524"/>
    </row>
    <row r="578" ht="12.75">
      <c r="T578" s="524"/>
    </row>
    <row r="579" ht="12.75">
      <c r="T579" s="524"/>
    </row>
    <row r="580" ht="12.75">
      <c r="T580" s="524"/>
    </row>
    <row r="581" ht="12.75">
      <c r="T581" s="524"/>
    </row>
    <row r="582" ht="12.75">
      <c r="T582" s="524"/>
    </row>
    <row r="583" ht="12.75">
      <c r="T583" s="524"/>
    </row>
    <row r="584" ht="12.75">
      <c r="T584" s="524"/>
    </row>
    <row r="585" ht="12.75">
      <c r="T585" s="524"/>
    </row>
    <row r="586" ht="12.75">
      <c r="T586" s="524"/>
    </row>
    <row r="587" ht="12.75">
      <c r="T587" s="524"/>
    </row>
    <row r="588" ht="12.75">
      <c r="T588" s="524"/>
    </row>
    <row r="589" ht="12.75">
      <c r="T589" s="524"/>
    </row>
    <row r="590" ht="12.75">
      <c r="T590" s="524"/>
    </row>
    <row r="591" ht="12.75">
      <c r="T591" s="524"/>
    </row>
    <row r="592" ht="12.75">
      <c r="T592" s="524"/>
    </row>
    <row r="593" ht="12.75">
      <c r="T593" s="524"/>
    </row>
    <row r="594" ht="12.75">
      <c r="T594" s="524"/>
    </row>
    <row r="595" ht="12.75">
      <c r="T595" s="524"/>
    </row>
    <row r="596" ht="12.75">
      <c r="T596" s="524"/>
    </row>
    <row r="597" ht="12.75">
      <c r="T597" s="524"/>
    </row>
    <row r="598" ht="12.75">
      <c r="T598" s="524"/>
    </row>
    <row r="599" ht="12.75">
      <c r="T599" s="524"/>
    </row>
    <row r="600" ht="12.75">
      <c r="T600" s="524"/>
    </row>
    <row r="601" ht="12.75">
      <c r="T601" s="524"/>
    </row>
    <row r="602" ht="12.75">
      <c r="T602" s="524"/>
    </row>
    <row r="603" ht="12.75">
      <c r="T603" s="524"/>
    </row>
    <row r="604" ht="12.75">
      <c r="T604" s="524"/>
    </row>
    <row r="605" ht="12.75">
      <c r="T605" s="524"/>
    </row>
    <row r="606" ht="12.75">
      <c r="T606" s="524"/>
    </row>
    <row r="607" ht="12.75">
      <c r="T607" s="524"/>
    </row>
    <row r="608" ht="12.75">
      <c r="T608" s="524"/>
    </row>
    <row r="609" ht="12.75">
      <c r="T609" s="524"/>
    </row>
    <row r="610" ht="12.75">
      <c r="T610" s="524"/>
    </row>
    <row r="611" ht="12.75">
      <c r="T611" s="524"/>
    </row>
    <row r="612" ht="12.75">
      <c r="T612" s="524"/>
    </row>
    <row r="613" ht="12.75">
      <c r="T613" s="524"/>
    </row>
    <row r="614" ht="12.75">
      <c r="T614" s="524"/>
    </row>
    <row r="615" ht="12.75">
      <c r="T615" s="524"/>
    </row>
    <row r="616" ht="12.75">
      <c r="T616" s="524"/>
    </row>
    <row r="617" ht="12.75">
      <c r="T617" s="524"/>
    </row>
    <row r="618" ht="12.75">
      <c r="T618" s="524"/>
    </row>
    <row r="619" ht="12.75">
      <c r="T619" s="524"/>
    </row>
    <row r="620" ht="12.75">
      <c r="T620" s="524"/>
    </row>
    <row r="621" ht="12.75">
      <c r="T621" s="524"/>
    </row>
    <row r="622" ht="12.75">
      <c r="T622" s="524"/>
    </row>
    <row r="623" ht="12.75">
      <c r="T623" s="524"/>
    </row>
    <row r="624" ht="12.75">
      <c r="T624" s="524"/>
    </row>
    <row r="625" ht="12.75">
      <c r="T625" s="524"/>
    </row>
    <row r="626" ht="12.75">
      <c r="T626" s="524"/>
    </row>
    <row r="627" ht="12.75">
      <c r="T627" s="524"/>
    </row>
    <row r="628" ht="12.75">
      <c r="T628" s="524"/>
    </row>
    <row r="629" ht="12.75">
      <c r="T629" s="524"/>
    </row>
    <row r="630" ht="12.75">
      <c r="T630" s="524"/>
    </row>
    <row r="631" ht="12.75">
      <c r="T631" s="524"/>
    </row>
    <row r="632" ht="12.75">
      <c r="T632" s="524"/>
    </row>
    <row r="633" ht="12.75">
      <c r="T633" s="524"/>
    </row>
    <row r="634" ht="12.75">
      <c r="T634" s="524"/>
    </row>
    <row r="635" ht="12.75">
      <c r="T635" s="524"/>
    </row>
    <row r="636" ht="12.75">
      <c r="T636" s="524"/>
    </row>
    <row r="637" ht="12.75">
      <c r="T637" s="524"/>
    </row>
    <row r="638" ht="12.75">
      <c r="T638" s="524"/>
    </row>
    <row r="639" ht="12.75">
      <c r="T639" s="524"/>
    </row>
    <row r="640" ht="12.75">
      <c r="T640" s="524"/>
    </row>
    <row r="641" ht="12.75">
      <c r="T641" s="524"/>
    </row>
    <row r="642" ht="12.75">
      <c r="T642" s="524"/>
    </row>
    <row r="643" ht="12.75">
      <c r="T643" s="524"/>
    </row>
    <row r="644" ht="12.75">
      <c r="T644" s="524"/>
    </row>
    <row r="645" ht="12.75">
      <c r="T645" s="524"/>
    </row>
    <row r="646" ht="12.75">
      <c r="T646" s="524"/>
    </row>
    <row r="647" ht="12.75">
      <c r="T647" s="524"/>
    </row>
    <row r="648" ht="12.75">
      <c r="T648" s="524"/>
    </row>
    <row r="649" ht="12.75">
      <c r="T649" s="524"/>
    </row>
    <row r="650" ht="12.75">
      <c r="T650" s="524"/>
    </row>
    <row r="651" ht="12.75">
      <c r="T651" s="524"/>
    </row>
    <row r="652" ht="12.75">
      <c r="T652" s="524"/>
    </row>
    <row r="653" ht="12.75">
      <c r="T653" s="524"/>
    </row>
    <row r="654" ht="12.75">
      <c r="T654" s="524"/>
    </row>
    <row r="655" ht="12.75">
      <c r="T655" s="524"/>
    </row>
    <row r="656" ht="12.75">
      <c r="T656" s="524"/>
    </row>
    <row r="657" ht="12.75">
      <c r="T657" s="524"/>
    </row>
    <row r="658" ht="12.75">
      <c r="T658" s="524"/>
    </row>
    <row r="659" ht="12.75">
      <c r="T659" s="524"/>
    </row>
    <row r="660" ht="12.75">
      <c r="T660" s="524"/>
    </row>
    <row r="661" ht="12.75">
      <c r="T661" s="524"/>
    </row>
    <row r="662" ht="12.75">
      <c r="T662" s="524"/>
    </row>
    <row r="663" ht="12.75">
      <c r="T663" s="524"/>
    </row>
    <row r="664" ht="12.75">
      <c r="T664" s="524"/>
    </row>
    <row r="665" ht="12.75">
      <c r="T665" s="524"/>
    </row>
    <row r="666" ht="12.75">
      <c r="T666" s="524"/>
    </row>
    <row r="667" ht="12.75">
      <c r="T667" s="524"/>
    </row>
    <row r="668" ht="12.75">
      <c r="T668" s="524"/>
    </row>
    <row r="669" ht="12.75">
      <c r="T669" s="524"/>
    </row>
    <row r="670" ht="12.75">
      <c r="T670" s="524"/>
    </row>
    <row r="671" ht="12.75">
      <c r="T671" s="524"/>
    </row>
    <row r="672" ht="12.75">
      <c r="T672" s="524"/>
    </row>
    <row r="673" ht="12.75">
      <c r="T673" s="524"/>
    </row>
    <row r="674" ht="12.75">
      <c r="T674" s="524"/>
    </row>
    <row r="675" ht="12.75">
      <c r="T675" s="524"/>
    </row>
    <row r="676" ht="12.75">
      <c r="T676" s="524"/>
    </row>
    <row r="677" ht="12.75">
      <c r="T677" s="524"/>
    </row>
    <row r="678" ht="12.75">
      <c r="T678" s="524"/>
    </row>
    <row r="679" ht="12.75">
      <c r="T679" s="524"/>
    </row>
    <row r="680" ht="12.75">
      <c r="T680" s="524"/>
    </row>
    <row r="681" ht="12.75">
      <c r="T681" s="524"/>
    </row>
    <row r="682" ht="12.75">
      <c r="T682" s="524"/>
    </row>
    <row r="683" ht="12.75">
      <c r="T683" s="524"/>
    </row>
    <row r="684" ht="12.75">
      <c r="T684" s="524"/>
    </row>
    <row r="685" ht="12.75">
      <c r="T685" s="524"/>
    </row>
    <row r="686" ht="12.75">
      <c r="T686" s="524"/>
    </row>
    <row r="687" ht="12.75">
      <c r="T687" s="524"/>
    </row>
    <row r="688" ht="12.75">
      <c r="T688" s="524"/>
    </row>
    <row r="689" ht="12.75">
      <c r="T689" s="524"/>
    </row>
    <row r="690" ht="12.75">
      <c r="T690" s="524"/>
    </row>
    <row r="691" ht="12.75">
      <c r="T691" s="524"/>
    </row>
    <row r="692" ht="12.75">
      <c r="T692" s="524"/>
    </row>
    <row r="693" ht="12.75">
      <c r="T693" s="524"/>
    </row>
    <row r="694" ht="12.75">
      <c r="T694" s="524"/>
    </row>
    <row r="695" ht="12.75">
      <c r="T695" s="524"/>
    </row>
    <row r="696" ht="12.75">
      <c r="T696" s="524"/>
    </row>
    <row r="697" ht="12.75">
      <c r="T697" s="524"/>
    </row>
    <row r="698" ht="12.75">
      <c r="T698" s="524"/>
    </row>
    <row r="699" ht="12.75">
      <c r="T699" s="524"/>
    </row>
    <row r="700" ht="12.75">
      <c r="T700" s="524"/>
    </row>
    <row r="701" ht="12.75">
      <c r="T701" s="524"/>
    </row>
    <row r="702" ht="12.75">
      <c r="T702" s="524"/>
    </row>
    <row r="703" ht="12.75">
      <c r="T703" s="524"/>
    </row>
    <row r="704" ht="12.75">
      <c r="T704" s="524"/>
    </row>
    <row r="705" ht="12.75">
      <c r="T705" s="524"/>
    </row>
    <row r="706" ht="12.75">
      <c r="T706" s="524"/>
    </row>
    <row r="707" ht="12.75">
      <c r="T707" s="524"/>
    </row>
    <row r="708" ht="12.75">
      <c r="T708" s="524"/>
    </row>
    <row r="709" ht="12.75">
      <c r="T709" s="524"/>
    </row>
    <row r="710" ht="12.75">
      <c r="T710" s="524"/>
    </row>
    <row r="711" ht="12.75">
      <c r="T711" s="524"/>
    </row>
    <row r="712" ht="12.75">
      <c r="T712" s="524"/>
    </row>
    <row r="713" ht="12.75">
      <c r="T713" s="524"/>
    </row>
    <row r="714" ht="12.75">
      <c r="T714" s="524"/>
    </row>
    <row r="715" ht="12.75">
      <c r="T715" s="524"/>
    </row>
    <row r="716" ht="12.75">
      <c r="T716" s="524"/>
    </row>
    <row r="717" ht="12.75">
      <c r="T717" s="524"/>
    </row>
    <row r="718" ht="12.75">
      <c r="T718" s="524"/>
    </row>
    <row r="719" ht="12.75">
      <c r="T719" s="524"/>
    </row>
    <row r="720" ht="12.75">
      <c r="T720" s="524"/>
    </row>
    <row r="721" ht="12.75">
      <c r="T721" s="524"/>
    </row>
    <row r="722" ht="12.75">
      <c r="T722" s="524"/>
    </row>
    <row r="723" ht="12.75">
      <c r="T723" s="524"/>
    </row>
    <row r="724" ht="12.75">
      <c r="T724" s="524"/>
    </row>
    <row r="725" ht="12.75">
      <c r="T725" s="524"/>
    </row>
    <row r="726" ht="12.75">
      <c r="T726" s="524"/>
    </row>
    <row r="727" ht="12.75">
      <c r="T727" s="524"/>
    </row>
    <row r="728" ht="12.75">
      <c r="T728" s="524"/>
    </row>
    <row r="729" ht="12.75">
      <c r="T729" s="524"/>
    </row>
    <row r="730" ht="12.75">
      <c r="T730" s="524"/>
    </row>
    <row r="731" ht="12.75">
      <c r="T731" s="524"/>
    </row>
    <row r="732" ht="12.75">
      <c r="T732" s="524"/>
    </row>
    <row r="733" ht="12.75">
      <c r="T733" s="524"/>
    </row>
    <row r="734" ht="12.75">
      <c r="T734" s="524"/>
    </row>
    <row r="735" ht="12.75">
      <c r="T735" s="524"/>
    </row>
    <row r="736" ht="12.75">
      <c r="T736" s="524"/>
    </row>
    <row r="737" ht="12.75">
      <c r="T737" s="524"/>
    </row>
    <row r="738" ht="12.75">
      <c r="T738" s="524"/>
    </row>
    <row r="739" ht="12.75">
      <c r="T739" s="524"/>
    </row>
    <row r="740" ht="12.75">
      <c r="T740" s="524"/>
    </row>
    <row r="741" ht="12.75">
      <c r="T741" s="524"/>
    </row>
    <row r="742" ht="12.75">
      <c r="T742" s="524"/>
    </row>
    <row r="743" ht="12.75">
      <c r="T743" s="524"/>
    </row>
    <row r="744" ht="12.75">
      <c r="T744" s="524"/>
    </row>
    <row r="745" ht="12.75">
      <c r="T745" s="524"/>
    </row>
    <row r="746" ht="12.75">
      <c r="T746" s="524"/>
    </row>
    <row r="747" ht="12.75">
      <c r="T747" s="524"/>
    </row>
    <row r="748" ht="12.75">
      <c r="T748" s="524"/>
    </row>
    <row r="749" ht="12.75">
      <c r="T749" s="524"/>
    </row>
    <row r="750" ht="12.75">
      <c r="T750" s="524"/>
    </row>
    <row r="751" ht="12.75">
      <c r="T751" s="524"/>
    </row>
    <row r="752" ht="12.75">
      <c r="T752" s="524"/>
    </row>
    <row r="753" ht="12.75">
      <c r="T753" s="524"/>
    </row>
    <row r="754" ht="12.75">
      <c r="T754" s="524"/>
    </row>
    <row r="755" ht="12.75">
      <c r="T755" s="524"/>
    </row>
    <row r="756" ht="12.75">
      <c r="T756" s="524"/>
    </row>
    <row r="757" ht="12.75">
      <c r="T757" s="524"/>
    </row>
    <row r="758" ht="12.75">
      <c r="T758" s="524"/>
    </row>
    <row r="759" ht="12.75">
      <c r="T759" s="524"/>
    </row>
    <row r="760" ht="12.75">
      <c r="T760" s="524"/>
    </row>
    <row r="761" ht="12.75">
      <c r="T761" s="524"/>
    </row>
    <row r="762" ht="12.75">
      <c r="T762" s="524"/>
    </row>
    <row r="763" ht="12.75">
      <c r="T763" s="524"/>
    </row>
    <row r="764" ht="12.75">
      <c r="T764" s="524"/>
    </row>
    <row r="765" ht="12.75">
      <c r="T765" s="524"/>
    </row>
    <row r="766" ht="12.75">
      <c r="T766" s="524"/>
    </row>
    <row r="767" ht="12.75">
      <c r="T767" s="524"/>
    </row>
    <row r="768" ht="12.75">
      <c r="T768" s="524"/>
    </row>
    <row r="769" ht="12.75">
      <c r="T769" s="524"/>
    </row>
    <row r="770" ht="12.75">
      <c r="T770" s="524"/>
    </row>
    <row r="771" ht="12.75">
      <c r="T771" s="524"/>
    </row>
    <row r="772" ht="12.75">
      <c r="T772" s="524"/>
    </row>
    <row r="773" ht="12.75">
      <c r="T773" s="524"/>
    </row>
    <row r="774" ht="12.75">
      <c r="T774" s="524"/>
    </row>
    <row r="775" ht="12.75">
      <c r="T775" s="524"/>
    </row>
    <row r="776" ht="12.75">
      <c r="T776" s="524"/>
    </row>
    <row r="777" ht="12.75">
      <c r="T777" s="524"/>
    </row>
    <row r="778" ht="12.75">
      <c r="T778" s="524"/>
    </row>
    <row r="779" ht="12.75">
      <c r="T779" s="524"/>
    </row>
    <row r="780" ht="12.75">
      <c r="T780" s="524"/>
    </row>
    <row r="781" ht="12.75">
      <c r="T781" s="524"/>
    </row>
    <row r="782" ht="12.75">
      <c r="T782" s="524"/>
    </row>
    <row r="783" ht="12.75">
      <c r="T783" s="524"/>
    </row>
    <row r="784" ht="12.75">
      <c r="T784" s="524"/>
    </row>
    <row r="785" ht="12.75">
      <c r="T785" s="524"/>
    </row>
    <row r="786" ht="12.75">
      <c r="T786" s="524"/>
    </row>
    <row r="787" ht="12.75">
      <c r="T787" s="524"/>
    </row>
    <row r="788" ht="12.75">
      <c r="T788" s="524"/>
    </row>
    <row r="789" ht="12.75">
      <c r="T789" s="524"/>
    </row>
    <row r="790" ht="12.75">
      <c r="T790" s="524"/>
    </row>
    <row r="791" ht="12.75">
      <c r="T791" s="524"/>
    </row>
    <row r="792" ht="12.75">
      <c r="T792" s="524"/>
    </row>
    <row r="793" ht="12.75">
      <c r="T793" s="524"/>
    </row>
    <row r="794" ht="12.75">
      <c r="T794" s="524"/>
    </row>
    <row r="795" ht="12.75">
      <c r="T795" s="524"/>
    </row>
    <row r="796" ht="12.75">
      <c r="T796" s="524"/>
    </row>
    <row r="797" ht="12.75">
      <c r="T797" s="524"/>
    </row>
    <row r="798" ht="12.75">
      <c r="T798" s="524"/>
    </row>
    <row r="799" ht="12.75">
      <c r="T799" s="524"/>
    </row>
    <row r="800" ht="12.75">
      <c r="T800" s="524"/>
    </row>
    <row r="801" ht="12.75">
      <c r="T801" s="524"/>
    </row>
    <row r="802" ht="12.75">
      <c r="T802" s="524"/>
    </row>
    <row r="803" ht="12.75">
      <c r="T803" s="524"/>
    </row>
    <row r="804" ht="12.75">
      <c r="T804" s="524"/>
    </row>
    <row r="805" ht="12.75">
      <c r="T805" s="524"/>
    </row>
    <row r="806" ht="12.75">
      <c r="T806" s="524"/>
    </row>
    <row r="807" ht="12.75">
      <c r="T807" s="524"/>
    </row>
    <row r="808" ht="12.75">
      <c r="T808" s="524"/>
    </row>
    <row r="809" ht="12.75">
      <c r="T809" s="524"/>
    </row>
    <row r="810" ht="12.75">
      <c r="T810" s="524"/>
    </row>
    <row r="811" ht="12.75">
      <c r="T811" s="524"/>
    </row>
    <row r="812" ht="12.75">
      <c r="T812" s="524"/>
    </row>
    <row r="813" ht="12.75">
      <c r="T813" s="524"/>
    </row>
    <row r="814" ht="12.75">
      <c r="T814" s="524"/>
    </row>
    <row r="815" ht="12.75">
      <c r="T815" s="524"/>
    </row>
    <row r="816" ht="12.75">
      <c r="T816" s="524"/>
    </row>
    <row r="817" ht="12.75">
      <c r="T817" s="524"/>
    </row>
    <row r="818" ht="12.75">
      <c r="T818" s="524"/>
    </row>
    <row r="819" ht="12.75">
      <c r="T819" s="524"/>
    </row>
    <row r="820" ht="12.75">
      <c r="T820" s="524"/>
    </row>
    <row r="821" ht="12.75">
      <c r="T821" s="524"/>
    </row>
    <row r="822" ht="12.75">
      <c r="T822" s="524"/>
    </row>
    <row r="823" ht="12.75">
      <c r="T823" s="524"/>
    </row>
    <row r="824" ht="12.75">
      <c r="T824" s="524"/>
    </row>
    <row r="825" ht="12.75">
      <c r="T825" s="524"/>
    </row>
    <row r="826" ht="12.75">
      <c r="T826" s="524"/>
    </row>
    <row r="827" ht="12.75">
      <c r="T827" s="524"/>
    </row>
    <row r="828" ht="12.75">
      <c r="T828" s="524"/>
    </row>
    <row r="829" ht="12.75">
      <c r="T829" s="524"/>
    </row>
    <row r="830" ht="12.75">
      <c r="T830" s="524"/>
    </row>
    <row r="831" ht="12.75">
      <c r="T831" s="524"/>
    </row>
    <row r="832" ht="12.75">
      <c r="T832" s="524"/>
    </row>
    <row r="833" ht="12.75">
      <c r="T833" s="524"/>
    </row>
    <row r="834" ht="12.75">
      <c r="T834" s="524"/>
    </row>
    <row r="835" ht="12.75">
      <c r="T835" s="524"/>
    </row>
    <row r="836" ht="12.75">
      <c r="T836" s="524"/>
    </row>
    <row r="837" ht="12.75">
      <c r="T837" s="524"/>
    </row>
    <row r="838" ht="12.75">
      <c r="T838" s="524"/>
    </row>
    <row r="839" ht="12.75">
      <c r="T839" s="524"/>
    </row>
    <row r="840" ht="12.75">
      <c r="T840" s="524"/>
    </row>
    <row r="841" ht="12.75">
      <c r="T841" s="524"/>
    </row>
    <row r="842" ht="12.75">
      <c r="T842" s="524"/>
    </row>
    <row r="843" ht="12.75">
      <c r="T843" s="524"/>
    </row>
    <row r="844" ht="12.75">
      <c r="T844" s="524"/>
    </row>
    <row r="845" ht="12.75">
      <c r="T845" s="524"/>
    </row>
    <row r="846" ht="12.75">
      <c r="T846" s="524"/>
    </row>
    <row r="847" ht="12.75">
      <c r="T847" s="524"/>
    </row>
    <row r="848" ht="12.75">
      <c r="T848" s="524"/>
    </row>
    <row r="849" ht="12.75">
      <c r="T849" s="524"/>
    </row>
    <row r="850" ht="12.75">
      <c r="T850" s="524"/>
    </row>
    <row r="851" ht="12.75">
      <c r="T851" s="524"/>
    </row>
    <row r="852" ht="12.75">
      <c r="T852" s="524"/>
    </row>
    <row r="853" ht="12.75">
      <c r="T853" s="524"/>
    </row>
    <row r="854" ht="12.75">
      <c r="T854" s="524"/>
    </row>
    <row r="855" ht="12.75">
      <c r="T855" s="524"/>
    </row>
    <row r="856" ht="12.75">
      <c r="T856" s="524"/>
    </row>
    <row r="857" ht="12.75">
      <c r="T857" s="524"/>
    </row>
    <row r="858" ht="12.75">
      <c r="T858" s="524"/>
    </row>
    <row r="859" ht="12.75">
      <c r="T859" s="524"/>
    </row>
    <row r="860" ht="12.75">
      <c r="T860" s="524"/>
    </row>
    <row r="861" ht="12.75">
      <c r="T861" s="524"/>
    </row>
    <row r="862" ht="12.75">
      <c r="T862" s="524"/>
    </row>
    <row r="863" ht="12.75">
      <c r="T863" s="524"/>
    </row>
    <row r="864" ht="12.75">
      <c r="T864" s="524"/>
    </row>
    <row r="865" ht="12.75">
      <c r="T865" s="524"/>
    </row>
    <row r="866" ht="12.75">
      <c r="T866" s="524"/>
    </row>
    <row r="867" ht="12.75">
      <c r="T867" s="524"/>
    </row>
    <row r="868" ht="12.75">
      <c r="T868" s="524"/>
    </row>
    <row r="869" ht="12.75">
      <c r="T869" s="524"/>
    </row>
    <row r="870" ht="12.75">
      <c r="T870" s="524"/>
    </row>
    <row r="871" ht="12.75">
      <c r="T871" s="524"/>
    </row>
    <row r="872" ht="12.75">
      <c r="T872" s="524"/>
    </row>
    <row r="873" ht="12.75">
      <c r="T873" s="524"/>
    </row>
    <row r="874" ht="12.75">
      <c r="T874" s="524"/>
    </row>
    <row r="875" ht="12.75">
      <c r="T875" s="524"/>
    </row>
    <row r="876" ht="12.75">
      <c r="T876" s="524"/>
    </row>
    <row r="877" ht="12.75">
      <c r="T877" s="524"/>
    </row>
    <row r="878" ht="12.75">
      <c r="T878" s="524"/>
    </row>
    <row r="879" ht="12.75">
      <c r="T879" s="524"/>
    </row>
    <row r="880" ht="12.75">
      <c r="T880" s="524"/>
    </row>
    <row r="881" ht="12.75">
      <c r="T881" s="524"/>
    </row>
    <row r="882" ht="12.75">
      <c r="T882" s="524"/>
    </row>
    <row r="883" ht="12.75">
      <c r="T883" s="524"/>
    </row>
    <row r="884" ht="12.75">
      <c r="T884" s="524"/>
    </row>
    <row r="885" ht="12.75">
      <c r="T885" s="524"/>
    </row>
    <row r="886" ht="12.75">
      <c r="T886" s="524"/>
    </row>
    <row r="887" ht="12.75">
      <c r="T887" s="524"/>
    </row>
    <row r="888" ht="12.75">
      <c r="T888" s="524"/>
    </row>
    <row r="889" ht="12.75">
      <c r="T889" s="524"/>
    </row>
    <row r="890" ht="12.75">
      <c r="T890" s="524"/>
    </row>
    <row r="891" ht="12.75">
      <c r="T891" s="524"/>
    </row>
    <row r="892" ht="12.75">
      <c r="T892" s="524"/>
    </row>
    <row r="893" ht="12.75">
      <c r="T893" s="524"/>
    </row>
    <row r="894" ht="12.75">
      <c r="T894" s="524"/>
    </row>
    <row r="895" ht="12.75">
      <c r="T895" s="524"/>
    </row>
    <row r="896" ht="12.75">
      <c r="T896" s="524"/>
    </row>
    <row r="897" ht="12.75">
      <c r="T897" s="524"/>
    </row>
    <row r="898" ht="12.75">
      <c r="T898" s="524"/>
    </row>
    <row r="899" ht="12.75">
      <c r="T899" s="524"/>
    </row>
    <row r="900" ht="12.75">
      <c r="T900" s="524"/>
    </row>
    <row r="901" ht="12.75">
      <c r="T901" s="524"/>
    </row>
    <row r="902" ht="12.75">
      <c r="T902" s="524"/>
    </row>
    <row r="903" ht="12.75">
      <c r="T903" s="524"/>
    </row>
    <row r="904" ht="12.75">
      <c r="T904" s="524"/>
    </row>
    <row r="905" ht="12.75">
      <c r="T905" s="524"/>
    </row>
    <row r="906" ht="12.75">
      <c r="T906" s="524"/>
    </row>
    <row r="907" ht="12.75">
      <c r="T907" s="524"/>
    </row>
    <row r="908" ht="12.75">
      <c r="T908" s="524"/>
    </row>
    <row r="909" ht="12.75">
      <c r="T909" s="524"/>
    </row>
    <row r="910" ht="12.75">
      <c r="T910" s="524"/>
    </row>
    <row r="911" ht="12.75">
      <c r="T911" s="524"/>
    </row>
    <row r="912" ht="12.75">
      <c r="T912" s="524"/>
    </row>
    <row r="913" ht="12.75">
      <c r="T913" s="524"/>
    </row>
    <row r="914" ht="12.75">
      <c r="T914" s="524"/>
    </row>
    <row r="915" ht="12.75">
      <c r="T915" s="524"/>
    </row>
    <row r="916" ht="12.75">
      <c r="T916" s="524"/>
    </row>
    <row r="917" ht="12.75">
      <c r="T917" s="524"/>
    </row>
    <row r="918" ht="12.75">
      <c r="T918" s="524"/>
    </row>
    <row r="919" ht="12.75">
      <c r="T919" s="524"/>
    </row>
    <row r="920" ht="12.75">
      <c r="T920" s="524"/>
    </row>
    <row r="921" ht="12.75">
      <c r="T921" s="524"/>
    </row>
    <row r="922" ht="12.75">
      <c r="T922" s="524"/>
    </row>
    <row r="923" ht="12.75">
      <c r="T923" s="524"/>
    </row>
    <row r="924" ht="12.75">
      <c r="T924" s="524"/>
    </row>
    <row r="925" ht="12.75">
      <c r="T925" s="524"/>
    </row>
    <row r="926" ht="12.75">
      <c r="T926" s="524"/>
    </row>
    <row r="927" ht="12.75">
      <c r="T927" s="524"/>
    </row>
    <row r="928" ht="12.75">
      <c r="T928" s="524"/>
    </row>
    <row r="929" ht="12.75">
      <c r="T929" s="524"/>
    </row>
    <row r="930" ht="12.75">
      <c r="T930" s="524"/>
    </row>
    <row r="931" ht="12.75">
      <c r="T931" s="524"/>
    </row>
    <row r="932" ht="12.75">
      <c r="T932" s="524"/>
    </row>
    <row r="933" ht="12.75">
      <c r="T933" s="524"/>
    </row>
    <row r="934" ht="12.75">
      <c r="T934" s="524"/>
    </row>
    <row r="935" ht="12.75">
      <c r="T935" s="524"/>
    </row>
    <row r="936" ht="12.75">
      <c r="T936" s="524"/>
    </row>
    <row r="937" ht="12.75">
      <c r="T937" s="524"/>
    </row>
    <row r="938" ht="12.75">
      <c r="T938" s="524"/>
    </row>
    <row r="939" ht="12.75">
      <c r="T939" s="524"/>
    </row>
    <row r="940" ht="12.75">
      <c r="T940" s="524"/>
    </row>
    <row r="941" ht="12.75">
      <c r="T941" s="524"/>
    </row>
    <row r="942" ht="12.75">
      <c r="T942" s="524"/>
    </row>
    <row r="943" ht="12.75">
      <c r="T943" s="524"/>
    </row>
    <row r="944" ht="12.75">
      <c r="T944" s="524"/>
    </row>
    <row r="945" ht="12.75">
      <c r="T945" s="524"/>
    </row>
    <row r="946" ht="12.75">
      <c r="T946" s="524"/>
    </row>
    <row r="947" ht="12.75">
      <c r="T947" s="524"/>
    </row>
    <row r="948" ht="12.75">
      <c r="T948" s="524"/>
    </row>
    <row r="949" ht="12.75">
      <c r="T949" s="524"/>
    </row>
    <row r="950" ht="12.75">
      <c r="T950" s="524"/>
    </row>
    <row r="951" ht="12.75">
      <c r="T951" s="524"/>
    </row>
    <row r="952" ht="12.75">
      <c r="T952" s="524"/>
    </row>
    <row r="953" ht="12.75">
      <c r="T953" s="524"/>
    </row>
    <row r="954" ht="12.75">
      <c r="T954" s="524"/>
    </row>
    <row r="955" ht="12.75">
      <c r="T955" s="524"/>
    </row>
    <row r="956" ht="12.75">
      <c r="T956" s="524"/>
    </row>
    <row r="957" ht="12.75">
      <c r="T957" s="524"/>
    </row>
    <row r="958" ht="12.75">
      <c r="T958" s="524"/>
    </row>
    <row r="959" ht="12.75">
      <c r="T959" s="524"/>
    </row>
    <row r="960" ht="12.75">
      <c r="T960" s="524"/>
    </row>
    <row r="961" ht="12.75">
      <c r="T961" s="524"/>
    </row>
    <row r="962" ht="12.75">
      <c r="T962" s="524"/>
    </row>
    <row r="963" ht="12.75">
      <c r="T963" s="524"/>
    </row>
    <row r="964" ht="12.75">
      <c r="T964" s="524"/>
    </row>
    <row r="965" ht="12.75">
      <c r="T965" s="524"/>
    </row>
    <row r="966" ht="12.75">
      <c r="T966" s="524"/>
    </row>
    <row r="967" ht="12.75">
      <c r="T967" s="524"/>
    </row>
    <row r="968" ht="12.75">
      <c r="T968" s="524"/>
    </row>
    <row r="969" ht="12.75">
      <c r="T969" s="524"/>
    </row>
    <row r="970" ht="12.75">
      <c r="T970" s="524"/>
    </row>
    <row r="971" ht="12.75">
      <c r="T971" s="524"/>
    </row>
    <row r="972" ht="12.75">
      <c r="T972" s="524"/>
    </row>
    <row r="973" ht="12.75">
      <c r="T973" s="524"/>
    </row>
    <row r="974" ht="12.75">
      <c r="T974" s="524"/>
    </row>
    <row r="975" spans="19:21" ht="12.75">
      <c r="S975" s="93"/>
      <c r="T975" s="524"/>
      <c r="U975" s="93"/>
    </row>
    <row r="976" spans="19:21" ht="12.75">
      <c r="S976" s="93"/>
      <c r="T976" s="524"/>
      <c r="U976" s="93"/>
    </row>
    <row r="977" spans="19:21" ht="12.75">
      <c r="S977" s="93"/>
      <c r="T977" s="524"/>
      <c r="U977" s="93"/>
    </row>
    <row r="978" spans="19:21" ht="12.75">
      <c r="S978" s="93"/>
      <c r="T978" s="524"/>
      <c r="U978" s="93"/>
    </row>
    <row r="979" spans="19:21" ht="12.75">
      <c r="S979" s="93"/>
      <c r="T979" s="524"/>
      <c r="U979" s="93"/>
    </row>
    <row r="980" spans="19:21" ht="12.75">
      <c r="S980" s="93"/>
      <c r="T980" s="524"/>
      <c r="U980" s="93"/>
    </row>
    <row r="981" spans="19:21" ht="12.75">
      <c r="S981" s="93"/>
      <c r="T981" s="524"/>
      <c r="U981" s="93"/>
    </row>
    <row r="982" spans="19:21" ht="12.75">
      <c r="S982" s="93"/>
      <c r="T982" s="524"/>
      <c r="U982" s="93"/>
    </row>
    <row r="983" spans="19:21" ht="12.75">
      <c r="S983" s="93"/>
      <c r="T983" s="524"/>
      <c r="U983" s="93"/>
    </row>
    <row r="984" spans="19:21" ht="12.75">
      <c r="S984" s="93"/>
      <c r="T984" s="524"/>
      <c r="U984" s="93"/>
    </row>
    <row r="985" spans="19:21" ht="12.75">
      <c r="S985" s="93"/>
      <c r="T985" s="524"/>
      <c r="U985" s="93"/>
    </row>
    <row r="986" spans="19:21" ht="12.75">
      <c r="S986" s="93"/>
      <c r="T986" s="524"/>
      <c r="U986" s="93"/>
    </row>
    <row r="987" spans="19:21" ht="12.75">
      <c r="S987" s="93"/>
      <c r="T987" s="524"/>
      <c r="U987" s="93"/>
    </row>
    <row r="988" spans="19:21" ht="12.75">
      <c r="S988" s="93"/>
      <c r="T988" s="524"/>
      <c r="U988" s="93"/>
    </row>
    <row r="989" spans="19:21" ht="12.75">
      <c r="S989" s="93"/>
      <c r="T989" s="524"/>
      <c r="U989" s="93"/>
    </row>
    <row r="990" spans="19:21" ht="12.75">
      <c r="S990" s="93"/>
      <c r="T990" s="524"/>
      <c r="U990" s="93"/>
    </row>
    <row r="991" spans="19:21" ht="12.75">
      <c r="S991" s="93"/>
      <c r="T991" s="524"/>
      <c r="U991" s="93"/>
    </row>
    <row r="992" spans="19:21" ht="12.75">
      <c r="S992" s="93"/>
      <c r="T992" s="525"/>
      <c r="U992" s="93"/>
    </row>
  </sheetData>
  <mergeCells count="28">
    <mergeCell ref="B10:T10"/>
    <mergeCell ref="U12:U15"/>
    <mergeCell ref="C2:T3"/>
    <mergeCell ref="A12:A15"/>
    <mergeCell ref="B12:B14"/>
    <mergeCell ref="C12:E14"/>
    <mergeCell ref="M12:M15"/>
    <mergeCell ref="N12:O12"/>
    <mergeCell ref="P12:P15"/>
    <mergeCell ref="Q12:Q15"/>
    <mergeCell ref="R12:R15"/>
    <mergeCell ref="S12:S15"/>
    <mergeCell ref="T12:T15"/>
    <mergeCell ref="F13:F15"/>
    <mergeCell ref="G13:G15"/>
    <mergeCell ref="H13:H15"/>
    <mergeCell ref="K13:K15"/>
    <mergeCell ref="L13:L15"/>
    <mergeCell ref="N13:N15"/>
    <mergeCell ref="O13:O15"/>
    <mergeCell ref="I14:I15"/>
    <mergeCell ref="B222:E222"/>
    <mergeCell ref="B223:E223"/>
    <mergeCell ref="B224:E224"/>
    <mergeCell ref="B217:E217"/>
    <mergeCell ref="B218:E218"/>
    <mergeCell ref="B219:E219"/>
    <mergeCell ref="B221:E221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5" r:id="rId1"/>
  <headerFooter alignWithMargins="0">
    <oddFooter>&amp;CStrona &amp;P</oddFooter>
  </headerFooter>
  <rowBreaks count="4" manualBreakCount="4">
    <brk id="43" max="20" man="1"/>
    <brk id="86" max="20" man="1"/>
    <brk id="172" max="20" man="1"/>
    <brk id="206" max="2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0"/>
  <dimension ref="A1:E25"/>
  <sheetViews>
    <sheetView workbookViewId="0" topLeftCell="A1">
      <selection activeCell="G2" sqref="G2"/>
    </sheetView>
  </sheetViews>
  <sheetFormatPr defaultColWidth="9.00390625" defaultRowHeight="12.75"/>
  <cols>
    <col min="2" max="2" width="42.25390625" style="0" customWidth="1"/>
    <col min="3" max="3" width="14.00390625" style="0" customWidth="1"/>
    <col min="4" max="4" width="10.875" style="0" customWidth="1"/>
  </cols>
  <sheetData>
    <row r="1" spans="3:4" ht="12.75">
      <c r="C1" s="278"/>
      <c r="D1" s="118" t="s">
        <v>568</v>
      </c>
    </row>
    <row r="2" spans="1:5" ht="39.75" customHeight="1">
      <c r="A2" s="985" t="s">
        <v>845</v>
      </c>
      <c r="B2" s="985"/>
      <c r="C2" s="985"/>
      <c r="D2" s="985"/>
      <c r="E2" s="985"/>
    </row>
    <row r="3" spans="1:3" ht="15.75">
      <c r="A3" s="279"/>
      <c r="B3" s="279"/>
      <c r="C3" s="203"/>
    </row>
    <row r="4" ht="13.5" thickBot="1">
      <c r="C4" s="280"/>
    </row>
    <row r="5" spans="1:5" ht="26.25" customHeight="1" thickBot="1">
      <c r="A5" s="281" t="s">
        <v>1</v>
      </c>
      <c r="B5" s="282" t="s">
        <v>559</v>
      </c>
      <c r="C5" s="283" t="s">
        <v>716</v>
      </c>
      <c r="D5" s="574" t="s">
        <v>717</v>
      </c>
      <c r="E5" s="284" t="s">
        <v>207</v>
      </c>
    </row>
    <row r="6" spans="1:5" ht="13.5" thickBot="1">
      <c r="A6" s="680" t="s">
        <v>525</v>
      </c>
      <c r="B6" s="681" t="s">
        <v>569</v>
      </c>
      <c r="C6" s="673">
        <f>C7+C8-C9</f>
        <v>58811</v>
      </c>
      <c r="D6" s="665">
        <f>D7+D8-D9</f>
        <v>58811</v>
      </c>
      <c r="E6" s="670">
        <f>D6/C6</f>
        <v>1</v>
      </c>
    </row>
    <row r="7" spans="1:5" ht="12.75">
      <c r="A7" s="285" t="s">
        <v>22</v>
      </c>
      <c r="B7" s="286" t="s">
        <v>570</v>
      </c>
      <c r="C7" s="248">
        <v>58811</v>
      </c>
      <c r="D7" s="114">
        <v>58811</v>
      </c>
      <c r="E7" s="113">
        <f>D7/C7</f>
        <v>1</v>
      </c>
    </row>
    <row r="8" spans="1:5" ht="12.75">
      <c r="A8" s="287" t="s">
        <v>37</v>
      </c>
      <c r="B8" s="288" t="s">
        <v>571</v>
      </c>
      <c r="C8" s="256">
        <v>0</v>
      </c>
      <c r="D8" s="33">
        <v>0</v>
      </c>
      <c r="E8" s="37">
        <v>0</v>
      </c>
    </row>
    <row r="9" spans="1:5" ht="13.5" thickBot="1">
      <c r="A9" s="287" t="s">
        <v>44</v>
      </c>
      <c r="B9" s="288" t="s">
        <v>572</v>
      </c>
      <c r="C9" s="256">
        <v>0</v>
      </c>
      <c r="D9" s="33">
        <v>0</v>
      </c>
      <c r="E9" s="37">
        <v>0</v>
      </c>
    </row>
    <row r="10" spans="1:5" ht="15.75" customHeight="1" thickBot="1">
      <c r="A10" s="680" t="s">
        <v>527</v>
      </c>
      <c r="B10" s="681" t="s">
        <v>573</v>
      </c>
      <c r="C10" s="673">
        <f>C11</f>
        <v>65000</v>
      </c>
      <c r="D10" s="665">
        <f>D11</f>
        <v>81033</v>
      </c>
      <c r="E10" s="670">
        <f aca="true" t="shared" si="0" ref="E10:E18">D10/C10</f>
        <v>1.2466615384615385</v>
      </c>
    </row>
    <row r="11" spans="1:5" ht="26.25" thickBot="1">
      <c r="A11" s="289" t="s">
        <v>22</v>
      </c>
      <c r="B11" s="290" t="s">
        <v>574</v>
      </c>
      <c r="C11" s="291">
        <v>65000</v>
      </c>
      <c r="D11" s="114">
        <v>81033</v>
      </c>
      <c r="E11" s="113">
        <f t="shared" si="0"/>
        <v>1.2466615384615385</v>
      </c>
    </row>
    <row r="12" spans="1:5" ht="16.5" customHeight="1" thickBot="1">
      <c r="A12" s="680" t="s">
        <v>531</v>
      </c>
      <c r="B12" s="681" t="s">
        <v>462</v>
      </c>
      <c r="C12" s="673">
        <f>C13+C18</f>
        <v>95200</v>
      </c>
      <c r="D12" s="665">
        <f>D13+D18</f>
        <v>77157</v>
      </c>
      <c r="E12" s="670">
        <f t="shared" si="0"/>
        <v>0.8104726890756303</v>
      </c>
    </row>
    <row r="13" spans="1:5" ht="15" customHeight="1">
      <c r="A13" s="292" t="s">
        <v>22</v>
      </c>
      <c r="B13" s="293" t="s">
        <v>575</v>
      </c>
      <c r="C13" s="294">
        <f>C14+C17+C16+C15</f>
        <v>48200</v>
      </c>
      <c r="D13" s="271">
        <f>D14+D17+D16+D15</f>
        <v>31199</v>
      </c>
      <c r="E13" s="113">
        <f t="shared" si="0"/>
        <v>0.6472821576763486</v>
      </c>
    </row>
    <row r="14" spans="1:5" ht="24.75" customHeight="1">
      <c r="A14" s="287"/>
      <c r="B14" s="295" t="s">
        <v>576</v>
      </c>
      <c r="C14" s="256">
        <v>13000</v>
      </c>
      <c r="D14" s="33">
        <v>9000</v>
      </c>
      <c r="E14" s="37">
        <f t="shared" si="0"/>
        <v>0.6923076923076923</v>
      </c>
    </row>
    <row r="15" spans="1:5" ht="36" customHeight="1">
      <c r="A15" s="287"/>
      <c r="B15" s="295" t="s">
        <v>577</v>
      </c>
      <c r="C15" s="256">
        <v>3000</v>
      </c>
      <c r="D15" s="33">
        <v>1000</v>
      </c>
      <c r="E15" s="37">
        <f t="shared" si="0"/>
        <v>0.3333333333333333</v>
      </c>
    </row>
    <row r="16" spans="1:5" ht="16.5" customHeight="1">
      <c r="A16" s="287"/>
      <c r="B16" s="295" t="s">
        <v>578</v>
      </c>
      <c r="C16" s="256">
        <v>8800</v>
      </c>
      <c r="D16" s="33">
        <v>3653</v>
      </c>
      <c r="E16" s="37">
        <f t="shared" si="0"/>
        <v>0.41511363636363635</v>
      </c>
    </row>
    <row r="17" spans="1:5" ht="17.25" customHeight="1" thickBot="1">
      <c r="A17" s="296"/>
      <c r="B17" s="297" t="s">
        <v>579</v>
      </c>
      <c r="C17" s="251">
        <v>23400</v>
      </c>
      <c r="D17" s="259">
        <v>17546</v>
      </c>
      <c r="E17" s="252">
        <f t="shared" si="0"/>
        <v>0.7498290598290598</v>
      </c>
    </row>
    <row r="18" spans="1:5" ht="19.5" customHeight="1" thickBot="1">
      <c r="A18" s="680" t="s">
        <v>37</v>
      </c>
      <c r="B18" s="681" t="s">
        <v>580</v>
      </c>
      <c r="C18" s="672">
        <f>C19+C20+C21</f>
        <v>47000</v>
      </c>
      <c r="D18" s="672">
        <f>D19+D20+D21</f>
        <v>45958</v>
      </c>
      <c r="E18" s="670">
        <f t="shared" si="0"/>
        <v>0.9778297872340426</v>
      </c>
    </row>
    <row r="19" spans="1:5" ht="15.75" customHeight="1">
      <c r="A19" s="298"/>
      <c r="B19" s="299" t="s">
        <v>581</v>
      </c>
      <c r="C19" s="300">
        <v>32000</v>
      </c>
      <c r="D19" s="114">
        <v>30958</v>
      </c>
      <c r="E19" s="113">
        <v>0</v>
      </c>
    </row>
    <row r="20" spans="1:5" ht="25.5">
      <c r="A20" s="301"/>
      <c r="B20" s="299" t="s">
        <v>582</v>
      </c>
      <c r="C20" s="300">
        <v>15000</v>
      </c>
      <c r="D20" s="302">
        <v>15000</v>
      </c>
      <c r="E20" s="113">
        <v>0</v>
      </c>
    </row>
    <row r="21" spans="1:5" ht="37.5" customHeight="1" thickBot="1">
      <c r="A21" s="289"/>
      <c r="B21" s="297" t="s">
        <v>583</v>
      </c>
      <c r="C21" s="251">
        <v>0</v>
      </c>
      <c r="D21" s="259">
        <v>0</v>
      </c>
      <c r="E21" s="252">
        <v>0</v>
      </c>
    </row>
    <row r="22" spans="1:5" ht="16.5" customHeight="1" thickBot="1">
      <c r="A22" s="680" t="s">
        <v>584</v>
      </c>
      <c r="B22" s="681" t="s">
        <v>585</v>
      </c>
      <c r="C22" s="673">
        <f>C23+C24-C25</f>
        <v>28611</v>
      </c>
      <c r="D22" s="665">
        <f>D6+D10-D12</f>
        <v>62687</v>
      </c>
      <c r="E22" s="670">
        <f>D22/C22</f>
        <v>2.1910104505260213</v>
      </c>
    </row>
    <row r="23" spans="1:5" ht="12.75">
      <c r="A23" s="303" t="s">
        <v>22</v>
      </c>
      <c r="B23" s="304" t="s">
        <v>570</v>
      </c>
      <c r="C23" s="305">
        <v>28611</v>
      </c>
      <c r="D23" s="261">
        <v>62687</v>
      </c>
      <c r="E23" s="264">
        <f>D23/C23</f>
        <v>2.1910104505260213</v>
      </c>
    </row>
    <row r="24" spans="1:5" ht="12.75">
      <c r="A24" s="287" t="s">
        <v>37</v>
      </c>
      <c r="B24" s="288" t="s">
        <v>571</v>
      </c>
      <c r="C24" s="306">
        <v>0</v>
      </c>
      <c r="D24" s="33">
        <v>0</v>
      </c>
      <c r="E24" s="265">
        <v>0</v>
      </c>
    </row>
    <row r="25" spans="1:5" ht="13.5" thickBot="1">
      <c r="A25" s="307" t="s">
        <v>44</v>
      </c>
      <c r="B25" s="308" t="s">
        <v>572</v>
      </c>
      <c r="C25" s="309">
        <v>0</v>
      </c>
      <c r="D25" s="116">
        <v>0</v>
      </c>
      <c r="E25" s="269">
        <v>0</v>
      </c>
    </row>
  </sheetData>
  <mergeCells count="1">
    <mergeCell ref="A2:E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22">
      <selection activeCell="F4" sqref="F4"/>
    </sheetView>
  </sheetViews>
  <sheetFormatPr defaultColWidth="9.00390625" defaultRowHeight="12.75"/>
  <cols>
    <col min="1" max="1" width="5.125" style="0" customWidth="1"/>
    <col min="2" max="2" width="44.375" style="0" customWidth="1"/>
    <col min="3" max="3" width="14.00390625" style="0" customWidth="1"/>
    <col min="4" max="4" width="11.25390625" style="0" customWidth="1"/>
  </cols>
  <sheetData>
    <row r="1" spans="3:4" ht="23.25" customHeight="1">
      <c r="C1" s="571"/>
      <c r="D1" t="s">
        <v>741</v>
      </c>
    </row>
    <row r="2" ht="12.75">
      <c r="C2" s="571"/>
    </row>
    <row r="3" ht="12.75">
      <c r="C3" s="571"/>
    </row>
    <row r="4" spans="1:5" ht="33.75" customHeight="1">
      <c r="A4" s="985" t="s">
        <v>742</v>
      </c>
      <c r="B4" s="985"/>
      <c r="C4" s="985"/>
      <c r="D4" s="985"/>
      <c r="E4" s="985"/>
    </row>
    <row r="5" spans="1:2" ht="14.25" customHeight="1" thickBot="1">
      <c r="A5" s="279"/>
      <c r="B5" s="279"/>
    </row>
    <row r="6" ht="5.25" customHeight="1" hidden="1" thickBot="1">
      <c r="C6" s="277" t="s">
        <v>730</v>
      </c>
    </row>
    <row r="7" spans="1:5" ht="31.5" customHeight="1" thickBot="1">
      <c r="A7" s="246" t="s">
        <v>1</v>
      </c>
      <c r="B7" s="531" t="s">
        <v>559</v>
      </c>
      <c r="C7" s="570" t="s">
        <v>201</v>
      </c>
      <c r="D7" s="576" t="s">
        <v>717</v>
      </c>
      <c r="E7" s="577" t="s">
        <v>207</v>
      </c>
    </row>
    <row r="8" spans="1:5" ht="16.5" customHeight="1" thickBot="1">
      <c r="A8" s="693" t="s">
        <v>525</v>
      </c>
      <c r="B8" s="694" t="s">
        <v>569</v>
      </c>
      <c r="C8" s="686">
        <f>C9+C10-C11</f>
        <v>211054</v>
      </c>
      <c r="D8" s="695">
        <f>D9+D10-D11</f>
        <v>211054</v>
      </c>
      <c r="E8" s="687">
        <f>D8/C8</f>
        <v>1</v>
      </c>
    </row>
    <row r="9" spans="1:5" ht="15.75" customHeight="1">
      <c r="A9" s="247" t="s">
        <v>22</v>
      </c>
      <c r="B9" s="584" t="s">
        <v>570</v>
      </c>
      <c r="C9" s="248">
        <v>204439</v>
      </c>
      <c r="D9" s="248">
        <v>204439</v>
      </c>
      <c r="E9" s="580">
        <f aca="true" t="shared" si="0" ref="E9:E30">D9/C9</f>
        <v>1</v>
      </c>
    </row>
    <row r="10" spans="1:5" ht="18.75" customHeight="1">
      <c r="A10" s="236" t="s">
        <v>37</v>
      </c>
      <c r="B10" s="95" t="s">
        <v>571</v>
      </c>
      <c r="C10" s="256">
        <v>7916</v>
      </c>
      <c r="D10" s="256">
        <v>7916</v>
      </c>
      <c r="E10" s="580">
        <f t="shared" si="0"/>
        <v>1</v>
      </c>
    </row>
    <row r="11" spans="1:5" ht="17.25" customHeight="1">
      <c r="A11" s="236" t="s">
        <v>44</v>
      </c>
      <c r="B11" s="95" t="s">
        <v>572</v>
      </c>
      <c r="C11" s="256">
        <v>1301</v>
      </c>
      <c r="D11" s="256">
        <v>1301</v>
      </c>
      <c r="E11" s="580">
        <f t="shared" si="0"/>
        <v>1</v>
      </c>
    </row>
    <row r="12" spans="1:5" ht="16.5" customHeight="1" thickBot="1">
      <c r="A12" s="572" t="s">
        <v>62</v>
      </c>
      <c r="B12" s="573" t="s">
        <v>731</v>
      </c>
      <c r="C12" s="251">
        <v>0</v>
      </c>
      <c r="D12" s="251">
        <v>0</v>
      </c>
      <c r="E12" s="581">
        <v>0</v>
      </c>
    </row>
    <row r="13" spans="1:5" ht="20.25" customHeight="1" thickBot="1">
      <c r="A13" s="690" t="s">
        <v>527</v>
      </c>
      <c r="B13" s="691" t="s">
        <v>573</v>
      </c>
      <c r="C13" s="692">
        <f>C14+C15+C16</f>
        <v>200000</v>
      </c>
      <c r="D13" s="692">
        <f>D14+D15+D16</f>
        <v>155950</v>
      </c>
      <c r="E13" s="687">
        <f t="shared" si="0"/>
        <v>0.77975</v>
      </c>
    </row>
    <row r="14" spans="1:5" ht="16.5" customHeight="1">
      <c r="A14" s="236" t="s">
        <v>22</v>
      </c>
      <c r="B14" s="560" t="s">
        <v>732</v>
      </c>
      <c r="C14" s="248">
        <v>180000</v>
      </c>
      <c r="D14" s="248">
        <v>133894</v>
      </c>
      <c r="E14" s="580">
        <f t="shared" si="0"/>
        <v>0.7438555555555556</v>
      </c>
    </row>
    <row r="15" spans="1:5" ht="16.5" customHeight="1">
      <c r="A15" s="236">
        <v>2</v>
      </c>
      <c r="B15" s="561" t="s">
        <v>733</v>
      </c>
      <c r="C15" s="256">
        <v>0</v>
      </c>
      <c r="D15" s="251">
        <v>2056</v>
      </c>
      <c r="E15" s="580">
        <v>0</v>
      </c>
    </row>
    <row r="16" spans="1:5" ht="16.5" customHeight="1" thickBot="1">
      <c r="A16" s="578">
        <v>3</v>
      </c>
      <c r="B16" s="29" t="s">
        <v>743</v>
      </c>
      <c r="C16" s="291">
        <v>20000</v>
      </c>
      <c r="D16" s="29">
        <v>20000</v>
      </c>
      <c r="E16" s="581">
        <f t="shared" si="0"/>
        <v>1</v>
      </c>
    </row>
    <row r="17" spans="1:5" ht="18" customHeight="1" thickBot="1">
      <c r="A17" s="688" t="s">
        <v>531</v>
      </c>
      <c r="B17" s="689" t="s">
        <v>462</v>
      </c>
      <c r="C17" s="686">
        <f>C18+C25</f>
        <v>370000</v>
      </c>
      <c r="D17" s="686">
        <f>D18+D25</f>
        <v>185119</v>
      </c>
      <c r="E17" s="687">
        <f t="shared" si="0"/>
        <v>0.5003216216216216</v>
      </c>
    </row>
    <row r="18" spans="1:5" ht="17.25" customHeight="1">
      <c r="A18" s="292" t="s">
        <v>22</v>
      </c>
      <c r="B18" s="562" t="s">
        <v>575</v>
      </c>
      <c r="C18" s="294">
        <f>C19+C22+C23+C24</f>
        <v>340000</v>
      </c>
      <c r="D18" s="294">
        <f>D19+D22+D23+D24</f>
        <v>176119</v>
      </c>
      <c r="E18" s="583">
        <f t="shared" si="0"/>
        <v>0.5179970588235294</v>
      </c>
    </row>
    <row r="19" spans="1:5" ht="17.25" customHeight="1">
      <c r="A19" s="287"/>
      <c r="B19" s="561" t="s">
        <v>734</v>
      </c>
      <c r="C19" s="256">
        <v>36000</v>
      </c>
      <c r="D19" s="256">
        <v>27190</v>
      </c>
      <c r="E19" s="580">
        <f t="shared" si="0"/>
        <v>0.7552777777777778</v>
      </c>
    </row>
    <row r="20" spans="1:5" ht="17.25" customHeight="1">
      <c r="A20" s="287"/>
      <c r="B20" s="559" t="s">
        <v>735</v>
      </c>
      <c r="C20" s="256">
        <v>18000</v>
      </c>
      <c r="D20" s="256">
        <v>13595</v>
      </c>
      <c r="E20" s="580">
        <f t="shared" si="0"/>
        <v>0.7552777777777778</v>
      </c>
    </row>
    <row r="21" spans="1:5" ht="17.25" customHeight="1">
      <c r="A21" s="287"/>
      <c r="B21" s="559" t="s">
        <v>736</v>
      </c>
      <c r="C21" s="256">
        <v>18000</v>
      </c>
      <c r="D21" s="256">
        <v>13595</v>
      </c>
      <c r="E21" s="580">
        <f t="shared" si="0"/>
        <v>0.7552777777777778</v>
      </c>
    </row>
    <row r="22" spans="1:5" ht="17.25" customHeight="1">
      <c r="A22" s="287"/>
      <c r="B22" s="561" t="s">
        <v>737</v>
      </c>
      <c r="C22" s="256">
        <v>50000</v>
      </c>
      <c r="D22" s="256">
        <v>31695</v>
      </c>
      <c r="E22" s="580">
        <f t="shared" si="0"/>
        <v>0.6339</v>
      </c>
    </row>
    <row r="23" spans="1:5" ht="16.5" customHeight="1">
      <c r="A23" s="287"/>
      <c r="B23" s="561" t="s">
        <v>738</v>
      </c>
      <c r="C23" s="256">
        <v>0</v>
      </c>
      <c r="D23" s="256">
        <v>0</v>
      </c>
      <c r="E23" s="580">
        <v>0</v>
      </c>
    </row>
    <row r="24" spans="1:5" ht="19.5" customHeight="1" thickBot="1">
      <c r="A24" s="287"/>
      <c r="B24" s="295" t="s">
        <v>579</v>
      </c>
      <c r="C24" s="256">
        <v>254000</v>
      </c>
      <c r="D24" s="251">
        <v>117234</v>
      </c>
      <c r="E24" s="581">
        <f t="shared" si="0"/>
        <v>0.4615511811023622</v>
      </c>
    </row>
    <row r="25" spans="1:5" ht="15.75" customHeight="1" thickBot="1">
      <c r="A25" s="579" t="s">
        <v>37</v>
      </c>
      <c r="B25" s="683" t="s">
        <v>739</v>
      </c>
      <c r="C25" s="684">
        <f>C26</f>
        <v>30000</v>
      </c>
      <c r="D25" s="684">
        <f>D26</f>
        <v>9000</v>
      </c>
      <c r="E25" s="685">
        <f t="shared" si="0"/>
        <v>0.3</v>
      </c>
    </row>
    <row r="26" spans="1:5" ht="26.25" thickBot="1">
      <c r="A26" s="289"/>
      <c r="B26" s="575" t="s">
        <v>740</v>
      </c>
      <c r="C26" s="291">
        <v>30000</v>
      </c>
      <c r="D26" s="291">
        <v>9000</v>
      </c>
      <c r="E26" s="581">
        <f t="shared" si="0"/>
        <v>0.3</v>
      </c>
    </row>
    <row r="27" spans="1:5" ht="16.5" customHeight="1" thickBot="1">
      <c r="A27" s="671" t="s">
        <v>544</v>
      </c>
      <c r="B27" s="665" t="s">
        <v>585</v>
      </c>
      <c r="C27" s="672">
        <f>C28+C29-C30</f>
        <v>41054</v>
      </c>
      <c r="D27" s="672">
        <f>D28+D29-D30</f>
        <v>181885</v>
      </c>
      <c r="E27" s="682">
        <f t="shared" si="0"/>
        <v>4.430384371802991</v>
      </c>
    </row>
    <row r="28" spans="1:5" ht="15.75" customHeight="1">
      <c r="A28" s="285" t="s">
        <v>22</v>
      </c>
      <c r="B28" s="558" t="s">
        <v>570</v>
      </c>
      <c r="C28" s="272">
        <v>40054</v>
      </c>
      <c r="D28" s="248">
        <v>185249</v>
      </c>
      <c r="E28" s="580">
        <f t="shared" si="0"/>
        <v>4.624981275278374</v>
      </c>
    </row>
    <row r="29" spans="1:5" ht="15" customHeight="1">
      <c r="A29" s="287" t="s">
        <v>37</v>
      </c>
      <c r="B29" s="559" t="s">
        <v>571</v>
      </c>
      <c r="C29" s="274">
        <v>10000</v>
      </c>
      <c r="D29" s="256">
        <v>4712</v>
      </c>
      <c r="E29" s="580">
        <f t="shared" si="0"/>
        <v>0.4712</v>
      </c>
    </row>
    <row r="30" spans="1:5" ht="15" customHeight="1" thickBot="1">
      <c r="A30" s="307" t="s">
        <v>44</v>
      </c>
      <c r="B30" s="563" t="s">
        <v>572</v>
      </c>
      <c r="C30" s="276">
        <v>9000</v>
      </c>
      <c r="D30" s="268">
        <v>8076</v>
      </c>
      <c r="E30" s="582">
        <f t="shared" si="0"/>
        <v>0.8973333333333333</v>
      </c>
    </row>
    <row r="33" spans="2:3" ht="12.75">
      <c r="B33" s="864"/>
      <c r="C33" s="864"/>
    </row>
    <row r="38" spans="1:3" ht="12.75">
      <c r="A38" s="29"/>
      <c r="B38" s="29"/>
      <c r="C38" s="987"/>
    </row>
    <row r="39" spans="1:3" ht="12" customHeight="1">
      <c r="A39" s="29"/>
      <c r="B39" s="29"/>
      <c r="C39" s="987"/>
    </row>
    <row r="40" spans="1:3" ht="14.25" customHeight="1">
      <c r="A40" s="986"/>
      <c r="B40" s="986"/>
      <c r="C40" s="29"/>
    </row>
    <row r="41" spans="1:3" ht="15.75">
      <c r="A41" s="565"/>
      <c r="B41" s="565"/>
      <c r="C41" s="564"/>
    </row>
    <row r="42" spans="1:3" ht="12.75">
      <c r="A42" s="29"/>
      <c r="B42" s="29"/>
      <c r="C42" s="290"/>
    </row>
    <row r="43" spans="1:3" ht="12.75">
      <c r="A43" s="207"/>
      <c r="B43" s="207"/>
      <c r="C43" s="566"/>
    </row>
    <row r="44" spans="1:3" ht="12.75">
      <c r="A44" s="207"/>
      <c r="B44" s="99"/>
      <c r="C44" s="99"/>
    </row>
    <row r="45" spans="1:3" ht="12.75">
      <c r="A45" s="316"/>
      <c r="B45" s="567"/>
      <c r="C45" s="29"/>
    </row>
    <row r="46" spans="1:3" ht="12.75">
      <c r="A46" s="316"/>
      <c r="B46" s="567"/>
      <c r="C46" s="29"/>
    </row>
    <row r="47" spans="1:3" ht="12.75">
      <c r="A47" s="316"/>
      <c r="B47" s="567"/>
      <c r="C47" s="29"/>
    </row>
    <row r="48" spans="1:3" ht="12.75">
      <c r="A48" s="316"/>
      <c r="B48" s="567"/>
      <c r="C48" s="29"/>
    </row>
    <row r="49" spans="1:3" ht="12.75">
      <c r="A49" s="207"/>
      <c r="B49" s="99"/>
      <c r="C49" s="99"/>
    </row>
    <row r="50" spans="1:3" ht="12.75">
      <c r="A50" s="316"/>
      <c r="B50" s="29"/>
      <c r="C50" s="29"/>
    </row>
    <row r="51" spans="1:3" ht="12.75">
      <c r="A51" s="207"/>
      <c r="B51" s="99"/>
      <c r="C51" s="99"/>
    </row>
    <row r="52" spans="1:3" ht="12.75">
      <c r="A52" s="207"/>
      <c r="B52" s="99"/>
      <c r="C52" s="99"/>
    </row>
    <row r="53" spans="1:3" ht="12.75">
      <c r="A53" s="316"/>
      <c r="B53" s="290"/>
      <c r="C53" s="29"/>
    </row>
    <row r="54" spans="1:3" ht="12.75">
      <c r="A54" s="316"/>
      <c r="B54" s="290"/>
      <c r="C54" s="29"/>
    </row>
    <row r="55" spans="1:3" ht="12.75">
      <c r="A55" s="568"/>
      <c r="B55" s="99"/>
      <c r="C55" s="99"/>
    </row>
    <row r="56" spans="1:3" ht="12.75">
      <c r="A56" s="316"/>
      <c r="B56" s="290"/>
      <c r="C56" s="29"/>
    </row>
    <row r="57" spans="1:3" ht="12.75">
      <c r="A57" s="207"/>
      <c r="B57" s="99"/>
      <c r="C57" s="99"/>
    </row>
    <row r="58" spans="1:3" ht="12.75">
      <c r="A58" s="316"/>
      <c r="B58" s="567"/>
      <c r="C58" s="29"/>
    </row>
    <row r="59" spans="1:3" ht="12.75">
      <c r="A59" s="316"/>
      <c r="B59" s="567"/>
      <c r="C59" s="569"/>
    </row>
    <row r="60" spans="1:3" ht="12.75">
      <c r="A60" s="316"/>
      <c r="B60" s="567"/>
      <c r="C60" s="569"/>
    </row>
    <row r="61" spans="1:3" ht="12.75">
      <c r="A61" s="29"/>
      <c r="B61" s="29"/>
      <c r="C61" s="29"/>
    </row>
    <row r="62" spans="1:3" ht="12.75">
      <c r="A62" s="29"/>
      <c r="B62" s="29"/>
      <c r="C62" s="29"/>
    </row>
    <row r="63" spans="1:3" ht="12.75">
      <c r="A63" s="29"/>
      <c r="B63" s="29"/>
      <c r="C63" s="29"/>
    </row>
    <row r="64" spans="1:3" ht="12.75">
      <c r="A64" s="29"/>
      <c r="B64" s="29"/>
      <c r="C64" s="29"/>
    </row>
    <row r="65" spans="1:3" ht="12.75">
      <c r="A65" s="29"/>
      <c r="B65" s="29"/>
      <c r="C65" s="29"/>
    </row>
    <row r="66" spans="1:3" ht="12.75">
      <c r="A66" s="29"/>
      <c r="B66" s="29"/>
      <c r="C66" s="29"/>
    </row>
    <row r="67" spans="1:3" ht="12.75">
      <c r="A67" s="29"/>
      <c r="B67" s="29"/>
      <c r="C67" s="29"/>
    </row>
    <row r="68" spans="1:3" ht="12.75">
      <c r="A68" s="29"/>
      <c r="B68" s="29"/>
      <c r="C68" s="29"/>
    </row>
    <row r="69" spans="1:3" ht="12.75">
      <c r="A69" s="29"/>
      <c r="B69" s="29"/>
      <c r="C69" s="29"/>
    </row>
    <row r="70" spans="1:3" ht="12.75">
      <c r="A70" s="29"/>
      <c r="B70" s="29"/>
      <c r="C70" s="29"/>
    </row>
    <row r="71" spans="1:3" ht="12.75">
      <c r="A71" s="29"/>
      <c r="B71" s="29"/>
      <c r="C71" s="29"/>
    </row>
    <row r="72" spans="1:3" ht="12.75">
      <c r="A72" s="29"/>
      <c r="B72" s="29"/>
      <c r="C72" s="29"/>
    </row>
    <row r="73" spans="1:3" ht="12.75">
      <c r="A73" s="29"/>
      <c r="B73" s="29"/>
      <c r="C73" s="29"/>
    </row>
    <row r="74" spans="1:3" ht="12.75">
      <c r="A74" s="29"/>
      <c r="B74" s="29"/>
      <c r="C74" s="29"/>
    </row>
    <row r="75" spans="1:3" ht="12.75">
      <c r="A75" s="29"/>
      <c r="B75" s="29"/>
      <c r="C75" s="29"/>
    </row>
    <row r="76" spans="1:3" ht="12.75">
      <c r="A76" s="29"/>
      <c r="B76" s="29"/>
      <c r="C76" s="29"/>
    </row>
    <row r="77" spans="1:3" ht="12.75">
      <c r="A77" s="29"/>
      <c r="B77" s="29"/>
      <c r="C77" s="29"/>
    </row>
  </sheetData>
  <mergeCells count="4">
    <mergeCell ref="A40:B40"/>
    <mergeCell ref="A4:E4"/>
    <mergeCell ref="B33:C33"/>
    <mergeCell ref="C38:C39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G44"/>
  <sheetViews>
    <sheetView workbookViewId="0" topLeftCell="A1">
      <selection activeCell="J3" sqref="J3"/>
    </sheetView>
  </sheetViews>
  <sheetFormatPr defaultColWidth="9.00390625" defaultRowHeight="12.75"/>
  <cols>
    <col min="1" max="1" width="6.625" style="0" customWidth="1"/>
    <col min="2" max="2" width="38.125" style="0" customWidth="1"/>
    <col min="3" max="3" width="8.75390625" style="0" hidden="1" customWidth="1"/>
    <col min="4" max="4" width="12.25390625" style="0" customWidth="1"/>
    <col min="5" max="5" width="11.125" style="0" customWidth="1"/>
    <col min="6" max="6" width="9.625" style="0" bestFit="1" customWidth="1"/>
  </cols>
  <sheetData>
    <row r="1" spans="3:7" ht="33.75" customHeight="1">
      <c r="C1" s="813"/>
      <c r="D1" s="813"/>
      <c r="E1" s="813"/>
      <c r="F1" s="831" t="s">
        <v>745</v>
      </c>
      <c r="G1" s="831"/>
    </row>
    <row r="2" spans="1:7" ht="78.75" customHeight="1" thickBot="1">
      <c r="A2" s="988" t="s">
        <v>748</v>
      </c>
      <c r="B2" s="988"/>
      <c r="C2" s="988"/>
      <c r="D2" s="988"/>
      <c r="E2" s="988"/>
      <c r="F2" s="988"/>
      <c r="G2" s="988"/>
    </row>
    <row r="3" spans="1:7" ht="24" customHeight="1" thickBot="1">
      <c r="A3" s="771" t="s">
        <v>1</v>
      </c>
      <c r="B3" s="772" t="s">
        <v>586</v>
      </c>
      <c r="C3" s="773" t="s">
        <v>587</v>
      </c>
      <c r="D3" s="774" t="s">
        <v>554</v>
      </c>
      <c r="E3" s="774" t="s">
        <v>719</v>
      </c>
      <c r="F3" s="775" t="s">
        <v>720</v>
      </c>
      <c r="G3" s="776" t="s">
        <v>207</v>
      </c>
    </row>
    <row r="4" spans="1:7" ht="13.5" thickBot="1">
      <c r="A4" s="153">
        <v>1</v>
      </c>
      <c r="B4" s="479">
        <v>2</v>
      </c>
      <c r="C4" s="156">
        <v>3</v>
      </c>
      <c r="D4" s="156">
        <v>3</v>
      </c>
      <c r="E4" s="156">
        <v>4</v>
      </c>
      <c r="F4" s="480">
        <v>5</v>
      </c>
      <c r="G4" s="481">
        <v>6</v>
      </c>
    </row>
    <row r="5" spans="1:7" ht="25.5">
      <c r="A5" s="631" t="s">
        <v>22</v>
      </c>
      <c r="B5" s="626" t="s">
        <v>750</v>
      </c>
      <c r="C5" s="586" t="e">
        <f>C6+#REF!+#REF!+#REF!+C7</f>
        <v>#REF!</v>
      </c>
      <c r="D5" s="587"/>
      <c r="E5" s="588">
        <f>E6+E7+E8+E9</f>
        <v>129249</v>
      </c>
      <c r="F5" s="588">
        <f>F6+F7+F8+F9</f>
        <v>129249</v>
      </c>
      <c r="G5" s="589">
        <f aca="true" t="shared" si="0" ref="G5:G28">F5/E5</f>
        <v>1</v>
      </c>
    </row>
    <row r="6" spans="1:7" ht="14.25" customHeight="1">
      <c r="A6" s="628"/>
      <c r="B6" s="220" t="s">
        <v>588</v>
      </c>
      <c r="C6" s="47">
        <v>83</v>
      </c>
      <c r="D6" s="226">
        <v>80130</v>
      </c>
      <c r="E6" s="590">
        <v>57613</v>
      </c>
      <c r="F6" s="590">
        <v>57613</v>
      </c>
      <c r="G6" s="51">
        <f t="shared" si="0"/>
        <v>1</v>
      </c>
    </row>
    <row r="7" spans="1:7" ht="15" customHeight="1">
      <c r="A7" s="628"/>
      <c r="B7" s="220" t="s">
        <v>589</v>
      </c>
      <c r="C7" s="47">
        <v>13</v>
      </c>
      <c r="D7" s="226">
        <v>80120</v>
      </c>
      <c r="E7" s="590">
        <v>45222</v>
      </c>
      <c r="F7" s="226">
        <v>45222</v>
      </c>
      <c r="G7" s="51">
        <f t="shared" si="0"/>
        <v>1</v>
      </c>
    </row>
    <row r="8" spans="1:7" ht="15.75" customHeight="1">
      <c r="A8" s="629"/>
      <c r="B8" s="610" t="s">
        <v>591</v>
      </c>
      <c r="C8" s="599"/>
      <c r="D8" s="413">
        <v>80130</v>
      </c>
      <c r="E8" s="598">
        <v>14247</v>
      </c>
      <c r="F8" s="413">
        <v>14247</v>
      </c>
      <c r="G8" s="51">
        <f t="shared" si="0"/>
        <v>1</v>
      </c>
    </row>
    <row r="9" spans="1:7" ht="16.5" customHeight="1">
      <c r="A9" s="629"/>
      <c r="B9" s="610" t="s">
        <v>590</v>
      </c>
      <c r="C9" s="599"/>
      <c r="D9" s="413">
        <v>80130</v>
      </c>
      <c r="E9" s="598">
        <v>12167</v>
      </c>
      <c r="F9" s="413">
        <v>12167</v>
      </c>
      <c r="G9" s="51">
        <f t="shared" si="0"/>
        <v>1</v>
      </c>
    </row>
    <row r="10" spans="1:7" ht="27" customHeight="1">
      <c r="A10" s="627" t="s">
        <v>37</v>
      </c>
      <c r="B10" s="626" t="s">
        <v>749</v>
      </c>
      <c r="C10" s="601" t="e">
        <f>C11+#REF!+#REF!+#REF!</f>
        <v>#REF!</v>
      </c>
      <c r="D10" s="587"/>
      <c r="E10" s="588">
        <f>E11+E12</f>
        <v>206486</v>
      </c>
      <c r="F10" s="588">
        <f>F11+F12</f>
        <v>206486</v>
      </c>
      <c r="G10" s="602">
        <f t="shared" si="0"/>
        <v>1</v>
      </c>
    </row>
    <row r="11" spans="1:7" ht="16.5" customHeight="1">
      <c r="A11" s="628"/>
      <c r="B11" s="220" t="s">
        <v>589</v>
      </c>
      <c r="C11" s="47">
        <v>77</v>
      </c>
      <c r="D11" s="226">
        <v>80120</v>
      </c>
      <c r="E11" s="590">
        <v>174807</v>
      </c>
      <c r="F11" s="226">
        <v>174807</v>
      </c>
      <c r="G11" s="51">
        <f t="shared" si="0"/>
        <v>1</v>
      </c>
    </row>
    <row r="12" spans="1:7" ht="18.75" customHeight="1">
      <c r="A12" s="629"/>
      <c r="B12" s="610" t="s">
        <v>751</v>
      </c>
      <c r="C12" s="599"/>
      <c r="D12" s="413">
        <v>80130</v>
      </c>
      <c r="E12" s="598">
        <v>31679</v>
      </c>
      <c r="F12" s="226">
        <v>31679</v>
      </c>
      <c r="G12" s="51">
        <f t="shared" si="0"/>
        <v>1</v>
      </c>
    </row>
    <row r="13" spans="1:7" ht="23.25" customHeight="1">
      <c r="A13" s="627" t="s">
        <v>44</v>
      </c>
      <c r="B13" s="611" t="s">
        <v>594</v>
      </c>
      <c r="C13" s="612">
        <f>C14+C15+C16+C17</f>
        <v>39</v>
      </c>
      <c r="D13" s="613"/>
      <c r="E13" s="614">
        <f>E14+E15+E16+E17</f>
        <v>625250</v>
      </c>
      <c r="F13" s="614">
        <f>F14+F15+F16+F17</f>
        <v>625250</v>
      </c>
      <c r="G13" s="602">
        <f t="shared" si="0"/>
        <v>1</v>
      </c>
    </row>
    <row r="14" spans="1:7" ht="12.75">
      <c r="A14" s="628"/>
      <c r="B14" s="220" t="s">
        <v>595</v>
      </c>
      <c r="C14" s="47">
        <v>5</v>
      </c>
      <c r="D14" s="226">
        <v>80102</v>
      </c>
      <c r="E14" s="590">
        <v>216382</v>
      </c>
      <c r="F14" s="226">
        <v>216382</v>
      </c>
      <c r="G14" s="51">
        <f t="shared" si="0"/>
        <v>1</v>
      </c>
    </row>
    <row r="15" spans="1:7" ht="12.75">
      <c r="A15" s="628"/>
      <c r="B15" s="220" t="s">
        <v>729</v>
      </c>
      <c r="C15" s="47">
        <v>18</v>
      </c>
      <c r="D15" s="226">
        <v>80105</v>
      </c>
      <c r="E15" s="590">
        <v>90022</v>
      </c>
      <c r="F15" s="226">
        <v>90022</v>
      </c>
      <c r="G15" s="51">
        <f t="shared" si="0"/>
        <v>1</v>
      </c>
    </row>
    <row r="16" spans="1:7" ht="12.75">
      <c r="A16" s="628"/>
      <c r="B16" s="220" t="s">
        <v>728</v>
      </c>
      <c r="C16" s="47">
        <v>5</v>
      </c>
      <c r="D16" s="226">
        <v>80111</v>
      </c>
      <c r="E16" s="590">
        <v>147846</v>
      </c>
      <c r="F16" s="226">
        <v>147846</v>
      </c>
      <c r="G16" s="51">
        <f t="shared" si="0"/>
        <v>1</v>
      </c>
    </row>
    <row r="17" spans="1:7" ht="26.25" thickBot="1">
      <c r="A17" s="630"/>
      <c r="B17" s="615" t="s">
        <v>596</v>
      </c>
      <c r="C17" s="591">
        <v>11</v>
      </c>
      <c r="D17" s="604">
        <v>80134</v>
      </c>
      <c r="E17" s="592">
        <v>171000</v>
      </c>
      <c r="F17" s="226">
        <v>171000</v>
      </c>
      <c r="G17" s="51">
        <f t="shared" si="0"/>
        <v>1</v>
      </c>
    </row>
    <row r="18" spans="1:7" ht="25.5" hidden="1">
      <c r="A18" s="271" t="s">
        <v>597</v>
      </c>
      <c r="B18" s="593" t="s">
        <v>592</v>
      </c>
      <c r="C18" s="557" t="s">
        <v>555</v>
      </c>
      <c r="D18" s="594" t="s">
        <v>555</v>
      </c>
      <c r="E18" s="595">
        <v>0</v>
      </c>
      <c r="F18" s="226"/>
      <c r="G18" s="51" t="e">
        <f t="shared" si="0"/>
        <v>#DIV/0!</v>
      </c>
    </row>
    <row r="19" spans="1:7" ht="12.75" hidden="1">
      <c r="A19" s="52"/>
      <c r="B19" s="605"/>
      <c r="C19" s="605"/>
      <c r="D19" s="606" t="s">
        <v>598</v>
      </c>
      <c r="E19" s="596">
        <v>0</v>
      </c>
      <c r="F19" s="226"/>
      <c r="G19" s="51" t="e">
        <f t="shared" si="0"/>
        <v>#DIV/0!</v>
      </c>
    </row>
    <row r="20" spans="1:7" ht="12.75" hidden="1">
      <c r="A20" s="52"/>
      <c r="B20" s="605"/>
      <c r="C20" s="605"/>
      <c r="D20" s="606">
        <v>80102</v>
      </c>
      <c r="E20" s="596">
        <v>0</v>
      </c>
      <c r="F20" s="226"/>
      <c r="G20" s="51" t="e">
        <f t="shared" si="0"/>
        <v>#DIV/0!</v>
      </c>
    </row>
    <row r="21" spans="1:7" ht="15" customHeight="1" hidden="1">
      <c r="A21" s="52"/>
      <c r="B21" s="607"/>
      <c r="C21" s="607"/>
      <c r="D21" s="608">
        <v>80111</v>
      </c>
      <c r="E21" s="598">
        <v>0</v>
      </c>
      <c r="F21" s="226"/>
      <c r="G21" s="51" t="e">
        <f t="shared" si="0"/>
        <v>#DIV/0!</v>
      </c>
    </row>
    <row r="22" spans="1:7" ht="38.25" hidden="1">
      <c r="A22" s="40"/>
      <c r="B22" s="79" t="s">
        <v>599</v>
      </c>
      <c r="C22" s="616" t="s">
        <v>555</v>
      </c>
      <c r="D22" s="209" t="s">
        <v>555</v>
      </c>
      <c r="E22" s="603">
        <v>0</v>
      </c>
      <c r="F22" s="226"/>
      <c r="G22" s="51" t="e">
        <f t="shared" si="0"/>
        <v>#DIV/0!</v>
      </c>
    </row>
    <row r="23" spans="1:7" ht="12.75" hidden="1">
      <c r="A23" s="52"/>
      <c r="B23" s="600"/>
      <c r="C23" s="600"/>
      <c r="D23" s="413"/>
      <c r="E23" s="598"/>
      <c r="F23" s="226"/>
      <c r="G23" s="51" t="e">
        <f t="shared" si="0"/>
        <v>#DIV/0!</v>
      </c>
    </row>
    <row r="24" spans="1:7" ht="25.5" hidden="1">
      <c r="A24" s="40" t="s">
        <v>600</v>
      </c>
      <c r="B24" s="593" t="s">
        <v>592</v>
      </c>
      <c r="C24" s="593"/>
      <c r="D24" s="617"/>
      <c r="E24" s="595">
        <f>E25+E26</f>
        <v>0</v>
      </c>
      <c r="F24" s="226"/>
      <c r="G24" s="51" t="e">
        <f t="shared" si="0"/>
        <v>#DIV/0!</v>
      </c>
    </row>
    <row r="25" spans="1:7" ht="12.75" hidden="1">
      <c r="A25" s="52"/>
      <c r="B25" s="618"/>
      <c r="C25" s="605"/>
      <c r="D25" s="300">
        <v>80120</v>
      </c>
      <c r="E25" s="596">
        <v>0</v>
      </c>
      <c r="F25" s="226"/>
      <c r="G25" s="51" t="e">
        <f t="shared" si="0"/>
        <v>#DIV/0!</v>
      </c>
    </row>
    <row r="26" spans="1:7" ht="12.75" hidden="1">
      <c r="A26" s="52"/>
      <c r="B26" s="607"/>
      <c r="C26" s="607"/>
      <c r="D26" s="597" t="s">
        <v>593</v>
      </c>
      <c r="E26" s="598">
        <v>0</v>
      </c>
      <c r="F26" s="226"/>
      <c r="G26" s="51" t="e">
        <f t="shared" si="0"/>
        <v>#DIV/0!</v>
      </c>
    </row>
    <row r="27" spans="1:7" ht="25.5" hidden="1">
      <c r="A27" s="40"/>
      <c r="B27" s="609" t="s">
        <v>601</v>
      </c>
      <c r="C27" s="616" t="s">
        <v>555</v>
      </c>
      <c r="D27" s="619" t="s">
        <v>555</v>
      </c>
      <c r="E27" s="620">
        <v>0</v>
      </c>
      <c r="F27" s="226"/>
      <c r="G27" s="51" t="e">
        <f t="shared" si="0"/>
        <v>#DIV/0!</v>
      </c>
    </row>
    <row r="28" spans="1:7" ht="27" customHeight="1">
      <c r="A28" s="625"/>
      <c r="B28" s="621" t="s">
        <v>602</v>
      </c>
      <c r="C28" s="622"/>
      <c r="D28" s="623"/>
      <c r="E28" s="624">
        <f>E5+E10+E13</f>
        <v>960985</v>
      </c>
      <c r="F28" s="624">
        <f>F5+F10+F13</f>
        <v>960985</v>
      </c>
      <c r="G28" s="602">
        <f t="shared" si="0"/>
        <v>1</v>
      </c>
    </row>
    <row r="29" spans="1:5" ht="12.75">
      <c r="A29" s="118"/>
      <c r="B29" s="118"/>
      <c r="C29" s="118"/>
      <c r="D29" s="118"/>
      <c r="E29" s="313"/>
    </row>
    <row r="30" spans="1:5" ht="12.75">
      <c r="A30" s="118"/>
      <c r="B30" s="118"/>
      <c r="C30" s="118"/>
      <c r="D30" s="118"/>
      <c r="E30" s="313"/>
    </row>
    <row r="31" spans="1:5" ht="19.5" customHeight="1">
      <c r="A31" s="118"/>
      <c r="B31" s="118"/>
      <c r="C31" s="118"/>
      <c r="D31" s="118"/>
      <c r="E31" s="313"/>
    </row>
    <row r="32" spans="1:5" ht="12.75">
      <c r="A32" s="118"/>
      <c r="B32" s="118"/>
      <c r="C32" s="118"/>
      <c r="D32" s="118"/>
      <c r="E32" s="314"/>
    </row>
    <row r="33" spans="1:5" ht="12.75">
      <c r="A33" s="118"/>
      <c r="B33" s="118"/>
      <c r="C33" s="118"/>
      <c r="D33" s="118"/>
      <c r="E33" s="314"/>
    </row>
    <row r="34" spans="1:5" ht="16.5" customHeight="1">
      <c r="A34" s="118"/>
      <c r="B34" s="118"/>
      <c r="C34" s="118"/>
      <c r="D34" s="118"/>
      <c r="E34" s="314"/>
    </row>
    <row r="35" ht="48" customHeight="1">
      <c r="E35" s="315"/>
    </row>
    <row r="36" ht="12.75">
      <c r="E36" s="315"/>
    </row>
    <row r="37" ht="12.75">
      <c r="E37" s="315"/>
    </row>
    <row r="38" ht="12.75">
      <c r="E38" s="315"/>
    </row>
    <row r="39" ht="12.75">
      <c r="E39" s="315"/>
    </row>
    <row r="40" ht="12.75">
      <c r="E40" s="315"/>
    </row>
    <row r="41" ht="12.75">
      <c r="E41" s="315"/>
    </row>
    <row r="42" ht="12.75">
      <c r="E42" s="315"/>
    </row>
    <row r="43" ht="12.75">
      <c r="E43" s="315"/>
    </row>
    <row r="44" ht="12.75">
      <c r="E44" s="315"/>
    </row>
  </sheetData>
  <mergeCells count="3">
    <mergeCell ref="C1:E1"/>
    <mergeCell ref="A2:G2"/>
    <mergeCell ref="F1:G1"/>
  </mergeCells>
  <printOptions/>
  <pageMargins left="0.7874015748031497" right="0.3937007874015748" top="0.1968503937007874" bottom="0.1968503937007874" header="0.5118110236220472" footer="0.5118110236220472"/>
  <pageSetup horizontalDpi="300" verticalDpi="300" orientation="portrait" paperSize="9" scale="99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F9"/>
  <sheetViews>
    <sheetView workbookViewId="0" topLeftCell="A1">
      <selection activeCell="G8" sqref="G8"/>
    </sheetView>
  </sheetViews>
  <sheetFormatPr defaultColWidth="9.00390625" defaultRowHeight="12.75"/>
  <cols>
    <col min="1" max="1" width="37.375" style="0" customWidth="1"/>
    <col min="2" max="2" width="5.875" style="0" customWidth="1"/>
    <col min="3" max="3" width="13.00390625" style="0" customWidth="1"/>
    <col min="4" max="4" width="12.125" style="0" customWidth="1"/>
    <col min="5" max="5" width="22.00390625" style="0" customWidth="1"/>
  </cols>
  <sheetData>
    <row r="1" spans="3:6" ht="39.75" customHeight="1">
      <c r="C1" s="968"/>
      <c r="D1" s="968"/>
      <c r="E1" s="990" t="s">
        <v>744</v>
      </c>
      <c r="F1" s="990"/>
    </row>
    <row r="2" spans="1:5" ht="62.25" customHeight="1">
      <c r="A2" s="989" t="s">
        <v>718</v>
      </c>
      <c r="B2" s="989"/>
      <c r="C2" s="989"/>
      <c r="D2" s="989"/>
      <c r="E2" s="989"/>
    </row>
    <row r="3" spans="1:4" ht="12.75">
      <c r="A3" s="150"/>
      <c r="B3" s="150"/>
      <c r="C3" s="150"/>
      <c r="D3" s="150"/>
    </row>
    <row r="5" ht="13.5" thickBot="1">
      <c r="D5" s="277"/>
    </row>
    <row r="6" spans="1:5" ht="17.25" customHeight="1" thickBot="1">
      <c r="A6" s="777" t="s">
        <v>603</v>
      </c>
      <c r="B6" s="777" t="s">
        <v>21</v>
      </c>
      <c r="C6" s="995" t="s">
        <v>721</v>
      </c>
      <c r="D6" s="996"/>
      <c r="E6" s="997" t="s">
        <v>722</v>
      </c>
    </row>
    <row r="7" spans="1:5" ht="13.5" hidden="1" thickBot="1">
      <c r="A7" s="778">
        <v>1</v>
      </c>
      <c r="B7" s="779"/>
      <c r="C7" s="780">
        <v>2</v>
      </c>
      <c r="D7" s="781"/>
      <c r="E7" s="998"/>
    </row>
    <row r="8" spans="1:5" ht="66.75" customHeight="1" thickBot="1">
      <c r="A8" s="317" t="s">
        <v>604</v>
      </c>
      <c r="B8" s="318">
        <v>2820</v>
      </c>
      <c r="C8" s="993">
        <v>16000</v>
      </c>
      <c r="D8" s="994"/>
      <c r="E8" s="319">
        <v>16000</v>
      </c>
    </row>
    <row r="9" spans="1:5" ht="22.5" customHeight="1" thickBot="1">
      <c r="A9" s="552" t="s">
        <v>605</v>
      </c>
      <c r="B9" s="552"/>
      <c r="C9" s="991">
        <f>SUM(C8:C8)</f>
        <v>16000</v>
      </c>
      <c r="D9" s="992"/>
      <c r="E9" s="556">
        <f>E8</f>
        <v>16000</v>
      </c>
    </row>
  </sheetData>
  <mergeCells count="7">
    <mergeCell ref="A2:E2"/>
    <mergeCell ref="E1:F1"/>
    <mergeCell ref="C1:D1"/>
    <mergeCell ref="C9:D9"/>
    <mergeCell ref="C8:D8"/>
    <mergeCell ref="C6:D6"/>
    <mergeCell ref="E6:E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B1" sqref="B1"/>
    </sheetView>
  </sheetViews>
  <sheetFormatPr defaultColWidth="9.00390625" defaultRowHeight="12.75"/>
  <cols>
    <col min="1" max="1" width="3.875" style="0" customWidth="1"/>
    <col min="2" max="2" width="26.875" style="0" customWidth="1"/>
    <col min="3" max="3" width="8.625" style="0" customWidth="1"/>
    <col min="4" max="4" width="7.25390625" style="0" customWidth="1"/>
    <col min="5" max="5" width="6.375" style="0" customWidth="1"/>
    <col min="6" max="6" width="10.375" style="0" customWidth="1"/>
    <col min="7" max="7" width="11.25390625" style="0" customWidth="1"/>
    <col min="8" max="8" width="9.25390625" style="0" customWidth="1"/>
  </cols>
  <sheetData>
    <row r="1" spans="7:8" ht="12.75">
      <c r="G1" t="s">
        <v>746</v>
      </c>
      <c r="H1" s="1"/>
    </row>
    <row r="2" spans="1:8" ht="50.25" customHeight="1">
      <c r="A2" s="999" t="s">
        <v>723</v>
      </c>
      <c r="B2" s="999"/>
      <c r="C2" s="999"/>
      <c r="D2" s="999"/>
      <c r="E2" s="999"/>
      <c r="F2" s="999"/>
      <c r="G2" s="999"/>
      <c r="H2" s="999"/>
    </row>
    <row r="3" spans="1:8" ht="40.5" customHeight="1" thickBot="1">
      <c r="A3" s="550" t="s">
        <v>558</v>
      </c>
      <c r="B3" s="550" t="s">
        <v>18</v>
      </c>
      <c r="C3" s="550" t="s">
        <v>465</v>
      </c>
      <c r="D3" s="550" t="s">
        <v>20</v>
      </c>
      <c r="E3" s="550" t="s">
        <v>21</v>
      </c>
      <c r="F3" s="550" t="s">
        <v>201</v>
      </c>
      <c r="G3" s="551" t="s">
        <v>722</v>
      </c>
      <c r="H3" s="550" t="s">
        <v>207</v>
      </c>
    </row>
    <row r="4" spans="1:8" ht="14.25" customHeight="1" thickBot="1">
      <c r="A4" s="281">
        <v>1</v>
      </c>
      <c r="B4" s="533">
        <v>2</v>
      </c>
      <c r="C4" s="531">
        <v>3</v>
      </c>
      <c r="D4" s="531">
        <v>4</v>
      </c>
      <c r="E4" s="531">
        <v>5</v>
      </c>
      <c r="F4" s="531">
        <v>6</v>
      </c>
      <c r="G4" s="531">
        <v>7</v>
      </c>
      <c r="H4" s="532">
        <v>8</v>
      </c>
    </row>
    <row r="5" spans="1:8" ht="16.5" customHeight="1" thickBot="1">
      <c r="A5" s="534">
        <v>1</v>
      </c>
      <c r="B5" s="535" t="s">
        <v>214</v>
      </c>
      <c r="C5" s="536" t="s">
        <v>24</v>
      </c>
      <c r="D5" s="536"/>
      <c r="E5" s="536"/>
      <c r="F5" s="537">
        <f>F6</f>
        <v>0</v>
      </c>
      <c r="G5" s="537">
        <f>G6</f>
        <v>763</v>
      </c>
      <c r="H5" s="538">
        <v>0</v>
      </c>
    </row>
    <row r="6" spans="1:8" ht="25.5">
      <c r="A6" s="539"/>
      <c r="B6" s="540" t="s">
        <v>606</v>
      </c>
      <c r="C6" s="541"/>
      <c r="D6" s="541" t="s">
        <v>469</v>
      </c>
      <c r="E6" s="541"/>
      <c r="F6" s="542">
        <f>F7+F10</f>
        <v>0</v>
      </c>
      <c r="G6" s="542">
        <f>G7+G10</f>
        <v>763</v>
      </c>
      <c r="H6" s="543">
        <v>0</v>
      </c>
    </row>
    <row r="7" spans="1:8" ht="12.75">
      <c r="A7" s="33"/>
      <c r="B7" s="72" t="s">
        <v>35</v>
      </c>
      <c r="C7" s="95"/>
      <c r="D7" s="95"/>
      <c r="E7" s="95" t="s">
        <v>36</v>
      </c>
      <c r="F7" s="33">
        <v>0</v>
      </c>
      <c r="G7" s="33">
        <v>745</v>
      </c>
      <c r="H7" s="45">
        <v>0</v>
      </c>
    </row>
    <row r="8" spans="1:8" ht="12.75" hidden="1">
      <c r="A8" s="33"/>
      <c r="B8" s="72" t="s">
        <v>30</v>
      </c>
      <c r="C8" s="95"/>
      <c r="D8" s="95"/>
      <c r="E8" s="95" t="s">
        <v>93</v>
      </c>
      <c r="F8" s="33">
        <v>0</v>
      </c>
      <c r="G8" s="33">
        <v>0</v>
      </c>
      <c r="H8" s="37">
        <v>0</v>
      </c>
    </row>
    <row r="9" spans="1:8" ht="12.75" hidden="1">
      <c r="A9" s="33"/>
      <c r="B9" s="72" t="s">
        <v>30</v>
      </c>
      <c r="C9" s="95"/>
      <c r="D9" s="95"/>
      <c r="E9" s="95" t="s">
        <v>93</v>
      </c>
      <c r="F9" s="33">
        <v>0</v>
      </c>
      <c r="G9" s="33">
        <v>0</v>
      </c>
      <c r="H9" s="37">
        <v>0</v>
      </c>
    </row>
    <row r="10" spans="1:8" ht="12.75">
      <c r="A10" s="33"/>
      <c r="B10" s="72" t="s">
        <v>30</v>
      </c>
      <c r="C10" s="95"/>
      <c r="D10" s="95"/>
      <c r="E10" s="95" t="s">
        <v>31</v>
      </c>
      <c r="F10" s="33">
        <v>0</v>
      </c>
      <c r="G10" s="33">
        <v>18</v>
      </c>
      <c r="H10" s="45">
        <v>0</v>
      </c>
    </row>
    <row r="11" spans="1:8" ht="25.5">
      <c r="A11" s="545">
        <v>2</v>
      </c>
      <c r="B11" s="546" t="s">
        <v>607</v>
      </c>
      <c r="C11" s="547" t="s">
        <v>64</v>
      </c>
      <c r="D11" s="547"/>
      <c r="E11" s="547"/>
      <c r="F11" s="545">
        <f>F12+F24</f>
        <v>138000</v>
      </c>
      <c r="G11" s="545">
        <f>G12</f>
        <v>156392</v>
      </c>
      <c r="H11" s="548">
        <f aca="true" t="shared" si="0" ref="H11:H17">G11/F11</f>
        <v>1.1332753623188405</v>
      </c>
    </row>
    <row r="12" spans="1:8" ht="16.5" customHeight="1">
      <c r="A12" s="348"/>
      <c r="B12" s="326" t="s">
        <v>608</v>
      </c>
      <c r="C12" s="544"/>
      <c r="D12" s="544" t="s">
        <v>66</v>
      </c>
      <c r="E12" s="544"/>
      <c r="F12" s="332">
        <f>F13+F15+F16+F17+F18+F19+F14</f>
        <v>138000</v>
      </c>
      <c r="G12" s="332">
        <f>G13+G14+G15+G16+G17+G18+G19+G20</f>
        <v>156392</v>
      </c>
      <c r="H12" s="331">
        <f t="shared" si="0"/>
        <v>1.1332753623188405</v>
      </c>
    </row>
    <row r="13" spans="1:8" ht="12.75">
      <c r="A13" s="33"/>
      <c r="B13" s="72" t="s">
        <v>609</v>
      </c>
      <c r="C13" s="95"/>
      <c r="D13" s="95"/>
      <c r="E13" s="95" t="s">
        <v>610</v>
      </c>
      <c r="F13" s="33">
        <v>100000</v>
      </c>
      <c r="G13" s="33">
        <v>99380</v>
      </c>
      <c r="H13" s="37">
        <f t="shared" si="0"/>
        <v>0.9938</v>
      </c>
    </row>
    <row r="14" spans="1:8" ht="12.75">
      <c r="A14" s="33"/>
      <c r="B14" s="72" t="s">
        <v>35</v>
      </c>
      <c r="C14" s="95"/>
      <c r="D14" s="95"/>
      <c r="E14" s="95" t="s">
        <v>36</v>
      </c>
      <c r="F14" s="33">
        <v>0</v>
      </c>
      <c r="G14" s="33">
        <v>185</v>
      </c>
      <c r="H14" s="37">
        <v>0</v>
      </c>
    </row>
    <row r="15" spans="1:8" ht="12.75">
      <c r="A15" s="33"/>
      <c r="B15" s="72" t="s">
        <v>611</v>
      </c>
      <c r="C15" s="95"/>
      <c r="D15" s="95"/>
      <c r="E15" s="95" t="s">
        <v>52</v>
      </c>
      <c r="F15" s="33">
        <v>3000</v>
      </c>
      <c r="G15" s="33">
        <v>3362</v>
      </c>
      <c r="H15" s="37">
        <f t="shared" si="0"/>
        <v>1.1206666666666667</v>
      </c>
    </row>
    <row r="16" spans="1:8" ht="12.75">
      <c r="A16" s="33"/>
      <c r="B16" s="72" t="s">
        <v>612</v>
      </c>
      <c r="C16" s="95"/>
      <c r="D16" s="95"/>
      <c r="E16" s="95" t="s">
        <v>613</v>
      </c>
      <c r="F16" s="33">
        <v>33000</v>
      </c>
      <c r="G16" s="33">
        <v>43321</v>
      </c>
      <c r="H16" s="37">
        <f t="shared" si="0"/>
        <v>1.3127575757575758</v>
      </c>
    </row>
    <row r="17" spans="1:8" ht="13.5" customHeight="1">
      <c r="A17" s="33"/>
      <c r="B17" s="72" t="s">
        <v>53</v>
      </c>
      <c r="C17" s="95"/>
      <c r="D17" s="95"/>
      <c r="E17" s="95" t="s">
        <v>54</v>
      </c>
      <c r="F17" s="33">
        <v>2000</v>
      </c>
      <c r="G17" s="33">
        <v>752</v>
      </c>
      <c r="H17" s="37">
        <f t="shared" si="0"/>
        <v>0.376</v>
      </c>
    </row>
    <row r="18" spans="1:8" ht="12.75">
      <c r="A18" s="33"/>
      <c r="B18" s="72" t="s">
        <v>727</v>
      </c>
      <c r="C18" s="95"/>
      <c r="D18" s="95"/>
      <c r="E18" s="95" t="s">
        <v>68</v>
      </c>
      <c r="F18" s="33">
        <v>0</v>
      </c>
      <c r="G18" s="33">
        <v>581</v>
      </c>
      <c r="H18" s="37">
        <v>0</v>
      </c>
    </row>
    <row r="19" spans="1:8" ht="12.75">
      <c r="A19" s="33"/>
      <c r="B19" s="72" t="s">
        <v>30</v>
      </c>
      <c r="C19" s="95"/>
      <c r="D19" s="95"/>
      <c r="E19" s="95" t="s">
        <v>31</v>
      </c>
      <c r="F19" s="33">
        <v>0</v>
      </c>
      <c r="G19" s="33">
        <v>6095</v>
      </c>
      <c r="H19" s="37">
        <v>0</v>
      </c>
    </row>
    <row r="20" spans="1:8" ht="12.75">
      <c r="A20" s="33"/>
      <c r="B20" s="72" t="s">
        <v>726</v>
      </c>
      <c r="C20" s="95"/>
      <c r="D20" s="95"/>
      <c r="E20" s="95" t="s">
        <v>56</v>
      </c>
      <c r="F20" s="33">
        <v>0</v>
      </c>
      <c r="G20" s="33">
        <v>2716</v>
      </c>
      <c r="H20" s="37">
        <v>0</v>
      </c>
    </row>
    <row r="21" spans="1:8" ht="15.75" customHeight="1">
      <c r="A21" s="545">
        <v>3</v>
      </c>
      <c r="B21" s="546" t="s">
        <v>273</v>
      </c>
      <c r="C21" s="547" t="s">
        <v>272</v>
      </c>
      <c r="D21" s="547"/>
      <c r="E21" s="547"/>
      <c r="F21" s="545">
        <f>F22</f>
        <v>0</v>
      </c>
      <c r="G21" s="545">
        <f>G22</f>
        <v>30044</v>
      </c>
      <c r="H21" s="549">
        <v>0</v>
      </c>
    </row>
    <row r="22" spans="1:8" ht="17.25" customHeight="1">
      <c r="A22" s="332"/>
      <c r="B22" s="326" t="s">
        <v>76</v>
      </c>
      <c r="C22" s="544"/>
      <c r="D22" s="544" t="s">
        <v>276</v>
      </c>
      <c r="E22" s="544"/>
      <c r="F22" s="332">
        <f>F23</f>
        <v>0</v>
      </c>
      <c r="G22" s="332">
        <f>G23</f>
        <v>30044</v>
      </c>
      <c r="H22" s="347">
        <v>0</v>
      </c>
    </row>
    <row r="23" spans="1:8" ht="12.75">
      <c r="A23" s="40"/>
      <c r="B23" s="47" t="s">
        <v>35</v>
      </c>
      <c r="C23" s="97"/>
      <c r="D23" s="97"/>
      <c r="E23" s="97" t="s">
        <v>36</v>
      </c>
      <c r="F23" s="52">
        <v>0</v>
      </c>
      <c r="G23" s="52">
        <v>30044</v>
      </c>
      <c r="H23" s="37">
        <v>0</v>
      </c>
    </row>
    <row r="24" spans="1:8" ht="17.25" customHeight="1">
      <c r="A24" s="545">
        <v>4</v>
      </c>
      <c r="B24" s="546" t="s">
        <v>284</v>
      </c>
      <c r="C24" s="547" t="s">
        <v>283</v>
      </c>
      <c r="D24" s="547"/>
      <c r="E24" s="547"/>
      <c r="F24" s="545">
        <f>F25</f>
        <v>0</v>
      </c>
      <c r="G24" s="545">
        <f>G25</f>
        <v>20</v>
      </c>
      <c r="H24" s="549">
        <v>0</v>
      </c>
    </row>
    <row r="25" spans="1:8" ht="16.5" customHeight="1">
      <c r="A25" s="348"/>
      <c r="B25" s="326" t="s">
        <v>614</v>
      </c>
      <c r="C25" s="544"/>
      <c r="D25" s="544" t="s">
        <v>285</v>
      </c>
      <c r="E25" s="544"/>
      <c r="F25" s="332">
        <f>F26</f>
        <v>0</v>
      </c>
      <c r="G25" s="332">
        <f>G26</f>
        <v>20</v>
      </c>
      <c r="H25" s="347">
        <v>0</v>
      </c>
    </row>
    <row r="26" spans="1:8" ht="12.75">
      <c r="A26" s="33"/>
      <c r="B26" s="72" t="s">
        <v>30</v>
      </c>
      <c r="C26" s="95"/>
      <c r="D26" s="95"/>
      <c r="E26" s="95" t="s">
        <v>31</v>
      </c>
      <c r="F26" s="33">
        <v>0</v>
      </c>
      <c r="G26" s="33">
        <v>20</v>
      </c>
      <c r="H26" s="37">
        <v>0</v>
      </c>
    </row>
    <row r="27" spans="1:8" ht="38.25">
      <c r="A27" s="545">
        <v>5</v>
      </c>
      <c r="B27" s="546" t="s">
        <v>309</v>
      </c>
      <c r="C27" s="547" t="s">
        <v>308</v>
      </c>
      <c r="D27" s="547"/>
      <c r="E27" s="547"/>
      <c r="F27" s="545">
        <f>F28+F31</f>
        <v>0</v>
      </c>
      <c r="G27" s="545">
        <f>G28+G31</f>
        <v>292</v>
      </c>
      <c r="H27" s="549">
        <v>0</v>
      </c>
    </row>
    <row r="28" spans="1:8" ht="12.75" hidden="1">
      <c r="A28" s="33"/>
      <c r="B28" s="79" t="s">
        <v>615</v>
      </c>
      <c r="C28" s="96"/>
      <c r="D28" s="96" t="s">
        <v>482</v>
      </c>
      <c r="E28" s="96"/>
      <c r="F28" s="40">
        <f>F29+F30</f>
        <v>0</v>
      </c>
      <c r="G28" s="40">
        <f>G29+G30</f>
        <v>0</v>
      </c>
      <c r="H28" s="45">
        <v>0</v>
      </c>
    </row>
    <row r="29" spans="1:8" ht="12.75" hidden="1">
      <c r="A29" s="33"/>
      <c r="B29" s="72" t="s">
        <v>611</v>
      </c>
      <c r="C29" s="95"/>
      <c r="D29" s="95"/>
      <c r="E29" s="95" t="s">
        <v>128</v>
      </c>
      <c r="F29" s="33">
        <v>0</v>
      </c>
      <c r="G29" s="33">
        <v>0</v>
      </c>
      <c r="H29" s="37">
        <v>0</v>
      </c>
    </row>
    <row r="30" spans="1:8" ht="12.75" hidden="1">
      <c r="A30" s="33"/>
      <c r="B30" s="72" t="s">
        <v>55</v>
      </c>
      <c r="C30" s="95"/>
      <c r="D30" s="95"/>
      <c r="E30" s="95" t="s">
        <v>57</v>
      </c>
      <c r="F30" s="33">
        <v>0</v>
      </c>
      <c r="G30" s="33">
        <v>0</v>
      </c>
      <c r="H30" s="37">
        <v>0</v>
      </c>
    </row>
    <row r="31" spans="1:8" ht="18.75" customHeight="1">
      <c r="A31" s="348"/>
      <c r="B31" s="326" t="s">
        <v>616</v>
      </c>
      <c r="C31" s="544"/>
      <c r="D31" s="544" t="s">
        <v>94</v>
      </c>
      <c r="E31" s="544"/>
      <c r="F31" s="332">
        <f>F32+F33+F34</f>
        <v>0</v>
      </c>
      <c r="G31" s="332">
        <f>G32+G33+G34</f>
        <v>292</v>
      </c>
      <c r="H31" s="347">
        <v>0</v>
      </c>
    </row>
    <row r="32" spans="1:8" ht="12.75">
      <c r="A32" s="33"/>
      <c r="B32" s="72" t="s">
        <v>53</v>
      </c>
      <c r="C32" s="96"/>
      <c r="D32" s="96"/>
      <c r="E32" s="97" t="s">
        <v>54</v>
      </c>
      <c r="F32" s="52">
        <v>0</v>
      </c>
      <c r="G32" s="40">
        <v>197</v>
      </c>
      <c r="H32" s="37">
        <v>0</v>
      </c>
    </row>
    <row r="33" spans="1:8" ht="12.75">
      <c r="A33" s="33"/>
      <c r="B33" s="72" t="s">
        <v>727</v>
      </c>
      <c r="C33" s="96"/>
      <c r="D33" s="96"/>
      <c r="E33" s="97" t="s">
        <v>68</v>
      </c>
      <c r="F33" s="52">
        <v>0</v>
      </c>
      <c r="G33" s="40">
        <v>91</v>
      </c>
      <c r="H33" s="37">
        <v>0</v>
      </c>
    </row>
    <row r="34" spans="1:8" ht="13.5" thickBot="1">
      <c r="A34" s="33"/>
      <c r="B34" s="72" t="s">
        <v>30</v>
      </c>
      <c r="C34" s="95"/>
      <c r="D34" s="95"/>
      <c r="E34" s="95" t="s">
        <v>31</v>
      </c>
      <c r="F34" s="33">
        <v>0</v>
      </c>
      <c r="G34" s="33">
        <v>4</v>
      </c>
      <c r="H34" s="37">
        <v>0</v>
      </c>
    </row>
    <row r="35" spans="1:8" ht="13.5" hidden="1" thickBot="1">
      <c r="A35" s="40">
        <v>6</v>
      </c>
      <c r="B35" s="79" t="s">
        <v>389</v>
      </c>
      <c r="C35" s="96" t="s">
        <v>131</v>
      </c>
      <c r="D35" s="96"/>
      <c r="E35" s="96"/>
      <c r="F35" s="40">
        <f>F36</f>
        <v>0</v>
      </c>
      <c r="G35" s="40">
        <f>G36</f>
        <v>0</v>
      </c>
      <c r="H35" s="45" t="e">
        <f>G35/F35</f>
        <v>#DIV/0!</v>
      </c>
    </row>
    <row r="36" spans="1:8" ht="13.5" hidden="1" thickBot="1">
      <c r="A36" s="33"/>
      <c r="B36" s="79" t="s">
        <v>472</v>
      </c>
      <c r="C36" s="96"/>
      <c r="D36" s="96" t="s">
        <v>391</v>
      </c>
      <c r="E36" s="96"/>
      <c r="F36" s="40">
        <f>F37+F38+F39+F40+F41+F42</f>
        <v>0</v>
      </c>
      <c r="G36" s="40">
        <f>G37+G38+G39+G40+G41+G42</f>
        <v>0</v>
      </c>
      <c r="H36" s="45" t="e">
        <f>G36/F36</f>
        <v>#DIV/0!</v>
      </c>
    </row>
    <row r="37" spans="1:8" ht="13.5" hidden="1" thickBot="1">
      <c r="A37" s="33"/>
      <c r="B37" s="72" t="s">
        <v>617</v>
      </c>
      <c r="C37" s="95"/>
      <c r="D37" s="95"/>
      <c r="E37" s="95" t="s">
        <v>618</v>
      </c>
      <c r="F37" s="33">
        <v>0</v>
      </c>
      <c r="G37" s="33">
        <v>0</v>
      </c>
      <c r="H37" s="37">
        <v>0</v>
      </c>
    </row>
    <row r="38" spans="1:8" ht="13.5" hidden="1" thickBot="1">
      <c r="A38" s="33"/>
      <c r="B38" s="72" t="s">
        <v>35</v>
      </c>
      <c r="C38" s="95"/>
      <c r="D38" s="95"/>
      <c r="E38" s="95" t="s">
        <v>126</v>
      </c>
      <c r="F38" s="33">
        <v>0</v>
      </c>
      <c r="G38" s="33">
        <v>0</v>
      </c>
      <c r="H38" s="37">
        <v>0</v>
      </c>
    </row>
    <row r="39" spans="1:8" ht="13.5" hidden="1" thickBot="1">
      <c r="A39" s="33"/>
      <c r="B39" s="72" t="s">
        <v>611</v>
      </c>
      <c r="C39" s="95"/>
      <c r="D39" s="95"/>
      <c r="E39" s="95" t="s">
        <v>128</v>
      </c>
      <c r="F39" s="33">
        <v>0</v>
      </c>
      <c r="G39" s="33">
        <v>0</v>
      </c>
      <c r="H39" s="37">
        <v>0</v>
      </c>
    </row>
    <row r="40" spans="1:8" ht="13.5" hidden="1" thickBot="1">
      <c r="A40" s="33"/>
      <c r="B40" s="72" t="s">
        <v>53</v>
      </c>
      <c r="C40" s="95"/>
      <c r="D40" s="95"/>
      <c r="E40" s="95" t="s">
        <v>83</v>
      </c>
      <c r="F40" s="33">
        <v>0</v>
      </c>
      <c r="G40" s="33">
        <v>0</v>
      </c>
      <c r="H40" s="37" t="e">
        <f>G40/F40</f>
        <v>#DIV/0!</v>
      </c>
    </row>
    <row r="41" spans="1:8" ht="13.5" hidden="1" thickBot="1">
      <c r="A41" s="33"/>
      <c r="B41" s="72" t="s">
        <v>30</v>
      </c>
      <c r="C41" s="95"/>
      <c r="D41" s="95"/>
      <c r="E41" s="95" t="s">
        <v>93</v>
      </c>
      <c r="F41" s="33">
        <v>0</v>
      </c>
      <c r="G41" s="33">
        <v>0</v>
      </c>
      <c r="H41" s="37">
        <v>0</v>
      </c>
    </row>
    <row r="42" spans="1:8" ht="13.5" hidden="1" thickBot="1">
      <c r="A42" s="259"/>
      <c r="B42" s="529" t="s">
        <v>55</v>
      </c>
      <c r="C42" s="530"/>
      <c r="D42" s="530"/>
      <c r="E42" s="530" t="s">
        <v>57</v>
      </c>
      <c r="F42" s="259">
        <v>0</v>
      </c>
      <c r="G42" s="259">
        <v>0</v>
      </c>
      <c r="H42" s="252">
        <v>0</v>
      </c>
    </row>
    <row r="43" spans="1:8" ht="21" customHeight="1" thickBot="1">
      <c r="A43" s="991" t="s">
        <v>602</v>
      </c>
      <c r="B43" s="1000"/>
      <c r="C43" s="1000"/>
      <c r="D43" s="1001"/>
      <c r="E43" s="553"/>
      <c r="F43" s="554">
        <f>F5+F11+F21+F24+F27</f>
        <v>138000</v>
      </c>
      <c r="G43" s="554">
        <f>G5+G11+G21+G24+G27</f>
        <v>187511</v>
      </c>
      <c r="H43" s="555">
        <f>G43/F43</f>
        <v>1.3587753623188406</v>
      </c>
    </row>
    <row r="44" spans="3:5" ht="12.75">
      <c r="C44" s="228"/>
      <c r="D44" s="228"/>
      <c r="E44" s="228"/>
    </row>
    <row r="45" spans="3:5" ht="12.75">
      <c r="C45" s="228"/>
      <c r="D45" s="228"/>
      <c r="E45" s="228"/>
    </row>
    <row r="46" spans="3:5" ht="12.75">
      <c r="C46" s="228"/>
      <c r="D46" s="228"/>
      <c r="E46" s="228"/>
    </row>
    <row r="47" spans="3:5" ht="12.75">
      <c r="C47" s="228"/>
      <c r="D47" s="228"/>
      <c r="E47" s="228"/>
    </row>
    <row r="48" spans="3:5" ht="12.75">
      <c r="C48" s="228"/>
      <c r="D48" s="228"/>
      <c r="E48" s="228"/>
    </row>
    <row r="49" spans="3:5" ht="12.75">
      <c r="C49" s="228"/>
      <c r="D49" s="228"/>
      <c r="E49" s="228"/>
    </row>
    <row r="50" spans="3:5" ht="12.75">
      <c r="C50" s="228"/>
      <c r="D50" s="228"/>
      <c r="E50" s="228"/>
    </row>
    <row r="51" spans="3:5" ht="12.75">
      <c r="C51" s="228"/>
      <c r="D51" s="228"/>
      <c r="E51" s="228"/>
    </row>
    <row r="52" spans="3:5" ht="12.75">
      <c r="C52" s="228"/>
      <c r="D52" s="228"/>
      <c r="E52" s="228"/>
    </row>
    <row r="53" spans="3:5" ht="12.75">
      <c r="C53" s="228"/>
      <c r="D53" s="228"/>
      <c r="E53" s="228"/>
    </row>
    <row r="54" spans="3:5" ht="12.75">
      <c r="C54" s="228"/>
      <c r="D54" s="228"/>
      <c r="E54" s="228"/>
    </row>
    <row r="55" spans="3:5" ht="12.75">
      <c r="C55" s="228"/>
      <c r="D55" s="228"/>
      <c r="E55" s="228"/>
    </row>
    <row r="56" spans="3:5" ht="12.75">
      <c r="C56" s="228"/>
      <c r="D56" s="228"/>
      <c r="E56" s="228"/>
    </row>
    <row r="57" spans="3:5" ht="12.75">
      <c r="C57" s="228"/>
      <c r="D57" s="228"/>
      <c r="E57" s="228"/>
    </row>
    <row r="58" spans="3:5" ht="12.75">
      <c r="C58" s="228"/>
      <c r="D58" s="228"/>
      <c r="E58" s="228"/>
    </row>
    <row r="59" spans="3:5" ht="12.75">
      <c r="C59" s="228"/>
      <c r="D59" s="228"/>
      <c r="E59" s="228"/>
    </row>
    <row r="60" spans="3:5" ht="12.75">
      <c r="C60" s="228"/>
      <c r="D60" s="228"/>
      <c r="E60" s="228"/>
    </row>
    <row r="61" spans="3:5" ht="12.75">
      <c r="C61" s="228"/>
      <c r="D61" s="228"/>
      <c r="E61" s="228"/>
    </row>
    <row r="62" spans="3:5" ht="12.75">
      <c r="C62" s="228"/>
      <c r="D62" s="228"/>
      <c r="E62" s="228"/>
    </row>
    <row r="63" spans="3:5" ht="12.75">
      <c r="C63" s="228"/>
      <c r="D63" s="228"/>
      <c r="E63" s="228"/>
    </row>
    <row r="64" spans="3:5" ht="12.75">
      <c r="C64" s="228"/>
      <c r="D64" s="228"/>
      <c r="E64" s="228"/>
    </row>
  </sheetData>
  <mergeCells count="2">
    <mergeCell ref="A2:H2"/>
    <mergeCell ref="A43:D4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3"/>
  <dimension ref="A1:O17"/>
  <sheetViews>
    <sheetView workbookViewId="0" topLeftCell="A1">
      <selection activeCell="A6" sqref="A6:A7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8.625" style="0" customWidth="1"/>
    <col min="4" max="4" width="8.875" style="0" hidden="1" customWidth="1"/>
    <col min="5" max="5" width="8.625" style="0" customWidth="1"/>
    <col min="6" max="6" width="0.12890625" style="0" hidden="1" customWidth="1"/>
    <col min="7" max="7" width="7.875" style="0" customWidth="1"/>
    <col min="8" max="8" width="8.875" style="0" customWidth="1"/>
    <col min="9" max="9" width="8.125" style="0" customWidth="1"/>
    <col min="10" max="11" width="0.12890625" style="0" hidden="1" customWidth="1"/>
    <col min="12" max="12" width="8.125" style="0" customWidth="1"/>
    <col min="13" max="13" width="7.75390625" style="0" customWidth="1"/>
    <col min="14" max="14" width="10.375" style="0" customWidth="1"/>
    <col min="15" max="15" width="9.00390625" style="0" customWidth="1"/>
  </cols>
  <sheetData>
    <row r="1" spans="5:14" ht="12.75">
      <c r="E1" s="981"/>
      <c r="F1" s="981"/>
      <c r="G1" s="981"/>
      <c r="H1" s="981"/>
      <c r="I1" s="981"/>
      <c r="J1" s="981"/>
      <c r="K1" s="981"/>
      <c r="L1" s="981"/>
      <c r="M1" s="981"/>
      <c r="N1" s="981"/>
    </row>
    <row r="2" spans="3:14" ht="21" customHeight="1">
      <c r="C2" s="982" t="s">
        <v>767</v>
      </c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</row>
    <row r="3" spans="3:14" ht="12.75"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</row>
    <row r="4" spans="1:14" ht="54" customHeight="1">
      <c r="A4" s="984" t="s">
        <v>768</v>
      </c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</row>
    <row r="5" spans="1:14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39" customHeight="1">
      <c r="A6" s="977" t="s">
        <v>558</v>
      </c>
      <c r="B6" s="979" t="s">
        <v>559</v>
      </c>
      <c r="C6" s="971" t="s">
        <v>560</v>
      </c>
      <c r="D6" s="972"/>
      <c r="E6" s="971" t="s">
        <v>713</v>
      </c>
      <c r="F6" s="972"/>
      <c r="G6" s="969" t="s">
        <v>501</v>
      </c>
      <c r="H6" s="969" t="s">
        <v>207</v>
      </c>
      <c r="I6" s="971" t="s">
        <v>714</v>
      </c>
      <c r="J6" s="972"/>
      <c r="K6" s="769"/>
      <c r="L6" s="969" t="s">
        <v>501</v>
      </c>
      <c r="M6" s="969" t="s">
        <v>207</v>
      </c>
      <c r="N6" s="975" t="s">
        <v>561</v>
      </c>
    </row>
    <row r="7" spans="1:15" ht="37.5" customHeight="1" thickBot="1">
      <c r="A7" s="978"/>
      <c r="B7" s="980"/>
      <c r="C7" s="973"/>
      <c r="D7" s="974"/>
      <c r="E7" s="973"/>
      <c r="F7" s="974"/>
      <c r="G7" s="970"/>
      <c r="H7" s="970"/>
      <c r="I7" s="973"/>
      <c r="J7" s="974"/>
      <c r="K7" s="770"/>
      <c r="L7" s="970"/>
      <c r="M7" s="970"/>
      <c r="N7" s="976"/>
      <c r="O7" s="93"/>
    </row>
    <row r="8" spans="1:15" ht="14.25" customHeight="1" thickBot="1">
      <c r="A8" s="762">
        <v>1</v>
      </c>
      <c r="B8" s="763">
        <v>2</v>
      </c>
      <c r="C8" s="764">
        <v>3</v>
      </c>
      <c r="D8" s="765"/>
      <c r="E8" s="766">
        <v>4</v>
      </c>
      <c r="F8" s="767"/>
      <c r="G8" s="763">
        <v>5</v>
      </c>
      <c r="H8" s="763">
        <v>6</v>
      </c>
      <c r="I8" s="763">
        <v>7</v>
      </c>
      <c r="J8" s="763"/>
      <c r="K8" s="763"/>
      <c r="L8" s="763">
        <v>8</v>
      </c>
      <c r="M8" s="763">
        <v>9</v>
      </c>
      <c r="N8" s="768">
        <v>10</v>
      </c>
      <c r="O8" s="93"/>
    </row>
    <row r="9" spans="1:15" ht="25.5">
      <c r="A9" s="542" t="s">
        <v>525</v>
      </c>
      <c r="B9" s="540" t="s">
        <v>562</v>
      </c>
      <c r="C9" s="542">
        <f>C10+C11+C12+C13+C14</f>
        <v>39343</v>
      </c>
      <c r="D9" s="542" t="e">
        <f>#REF!+D10+#REF!+#REF!+D11+#REF!+D12+#REF!+D13+#REF!+D14+#REF!+D15</f>
        <v>#REF!</v>
      </c>
      <c r="E9" s="542">
        <f>E10+E11+E12+E13+E14+E15</f>
        <v>0</v>
      </c>
      <c r="F9" s="542">
        <f>F10+F11+F12+F13+F14+F15</f>
        <v>237250</v>
      </c>
      <c r="G9" s="542">
        <f>G10+G11+G12+G13+G14+G15</f>
        <v>0</v>
      </c>
      <c r="H9" s="543">
        <v>0</v>
      </c>
      <c r="I9" s="542">
        <f>I10+I11+I12+I13+I14+I15</f>
        <v>0</v>
      </c>
      <c r="J9" s="542">
        <f>J10+J11+J12+J13+J14+J15</f>
        <v>242884</v>
      </c>
      <c r="K9" s="542">
        <f>K10+K11+K12+K13+K14+K15</f>
        <v>0</v>
      </c>
      <c r="L9" s="542">
        <f>L10+L11+L12+L13+L14+L15</f>
        <v>39343</v>
      </c>
      <c r="M9" s="543">
        <v>0</v>
      </c>
      <c r="N9" s="542">
        <f>N10+N11+N12+N13+N14+N15</f>
        <v>0</v>
      </c>
      <c r="O9" s="93"/>
    </row>
    <row r="10" spans="1:14" ht="25.5">
      <c r="A10" s="33" t="s">
        <v>22</v>
      </c>
      <c r="B10" s="72" t="s">
        <v>563</v>
      </c>
      <c r="C10" s="33">
        <v>4993</v>
      </c>
      <c r="D10" s="33">
        <v>2200</v>
      </c>
      <c r="E10" s="33">
        <v>0</v>
      </c>
      <c r="F10" s="33">
        <v>99450</v>
      </c>
      <c r="G10" s="33">
        <v>0</v>
      </c>
      <c r="H10" s="45">
        <v>0</v>
      </c>
      <c r="I10" s="33">
        <v>0</v>
      </c>
      <c r="J10" s="33">
        <v>100550</v>
      </c>
      <c r="K10" s="33"/>
      <c r="L10" s="33">
        <v>4993</v>
      </c>
      <c r="M10" s="45">
        <v>0</v>
      </c>
      <c r="N10" s="33">
        <f aca="true" t="shared" si="0" ref="N10:N15">C10+G10-L10</f>
        <v>0</v>
      </c>
    </row>
    <row r="11" spans="1:14" ht="25.5">
      <c r="A11" s="33" t="s">
        <v>37</v>
      </c>
      <c r="B11" s="72" t="s">
        <v>564</v>
      </c>
      <c r="C11" s="33">
        <v>3911</v>
      </c>
      <c r="D11" s="33">
        <v>6009</v>
      </c>
      <c r="E11" s="33">
        <v>0</v>
      </c>
      <c r="F11" s="33">
        <v>101000</v>
      </c>
      <c r="G11" s="33">
        <v>0</v>
      </c>
      <c r="H11" s="45">
        <v>0</v>
      </c>
      <c r="I11" s="33">
        <v>0</v>
      </c>
      <c r="J11" s="33">
        <v>101000</v>
      </c>
      <c r="K11" s="33"/>
      <c r="L11" s="33">
        <v>3911</v>
      </c>
      <c r="M11" s="45">
        <v>0</v>
      </c>
      <c r="N11" s="33">
        <f t="shared" si="0"/>
        <v>0</v>
      </c>
    </row>
    <row r="12" spans="1:14" ht="38.25" customHeight="1">
      <c r="A12" s="33" t="s">
        <v>44</v>
      </c>
      <c r="B12" s="72" t="s">
        <v>565</v>
      </c>
      <c r="C12" s="33">
        <v>5055</v>
      </c>
      <c r="D12" s="33">
        <v>0</v>
      </c>
      <c r="E12" s="33">
        <v>0</v>
      </c>
      <c r="F12" s="33">
        <v>8100</v>
      </c>
      <c r="G12" s="33">
        <v>0</v>
      </c>
      <c r="H12" s="45">
        <v>0</v>
      </c>
      <c r="I12" s="33">
        <v>0</v>
      </c>
      <c r="J12" s="33">
        <v>8100</v>
      </c>
      <c r="K12" s="33"/>
      <c r="L12" s="33">
        <v>5055</v>
      </c>
      <c r="M12" s="45">
        <v>0</v>
      </c>
      <c r="N12" s="33">
        <f t="shared" si="0"/>
        <v>0</v>
      </c>
    </row>
    <row r="13" spans="1:14" ht="20.25" customHeight="1">
      <c r="A13" s="33" t="s">
        <v>62</v>
      </c>
      <c r="B13" s="72" t="s">
        <v>566</v>
      </c>
      <c r="C13" s="33">
        <v>11065</v>
      </c>
      <c r="D13" s="33">
        <v>4534</v>
      </c>
      <c r="E13" s="33">
        <v>0</v>
      </c>
      <c r="F13" s="33">
        <v>5200</v>
      </c>
      <c r="G13" s="33">
        <v>0</v>
      </c>
      <c r="H13" s="45">
        <v>0</v>
      </c>
      <c r="I13" s="33">
        <v>0</v>
      </c>
      <c r="J13" s="33">
        <v>9734</v>
      </c>
      <c r="K13" s="33"/>
      <c r="L13" s="33">
        <v>11065</v>
      </c>
      <c r="M13" s="45">
        <v>0</v>
      </c>
      <c r="N13" s="33">
        <f t="shared" si="0"/>
        <v>0</v>
      </c>
    </row>
    <row r="14" spans="1:14" ht="28.5" customHeight="1">
      <c r="A14" s="33" t="s">
        <v>71</v>
      </c>
      <c r="B14" s="72" t="s">
        <v>556</v>
      </c>
      <c r="C14" s="33">
        <v>14319</v>
      </c>
      <c r="D14" s="33">
        <v>0</v>
      </c>
      <c r="E14" s="33">
        <v>0</v>
      </c>
      <c r="F14" s="33">
        <v>23500</v>
      </c>
      <c r="G14" s="33">
        <v>0</v>
      </c>
      <c r="H14" s="45">
        <v>0</v>
      </c>
      <c r="I14" s="33">
        <v>0</v>
      </c>
      <c r="J14" s="33">
        <v>23500</v>
      </c>
      <c r="K14" s="33"/>
      <c r="L14" s="33">
        <v>14319</v>
      </c>
      <c r="M14" s="45">
        <v>0</v>
      </c>
      <c r="N14" s="33">
        <f t="shared" si="0"/>
        <v>0</v>
      </c>
    </row>
    <row r="15" spans="1:14" ht="26.25" customHeight="1">
      <c r="A15" s="31" t="s">
        <v>77</v>
      </c>
      <c r="B15" s="72" t="s">
        <v>567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45">
        <v>0</v>
      </c>
      <c r="I15" s="33">
        <v>0</v>
      </c>
      <c r="J15" s="33">
        <v>0</v>
      </c>
      <c r="K15" s="33"/>
      <c r="L15" s="33">
        <v>0</v>
      </c>
      <c r="M15" s="45">
        <v>0</v>
      </c>
      <c r="N15" s="33">
        <f t="shared" si="0"/>
        <v>0</v>
      </c>
    </row>
    <row r="16" ht="12.75">
      <c r="L16" t="s">
        <v>769</v>
      </c>
    </row>
    <row r="17" spans="1:14" ht="37.5" customHeight="1">
      <c r="A17" s="968" t="s">
        <v>770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</row>
  </sheetData>
  <mergeCells count="15">
    <mergeCell ref="N6:N7"/>
    <mergeCell ref="E1:N1"/>
    <mergeCell ref="C2:N2"/>
    <mergeCell ref="C3:N3"/>
    <mergeCell ref="A4:N4"/>
    <mergeCell ref="A17:N17"/>
    <mergeCell ref="G6:G7"/>
    <mergeCell ref="H6:H7"/>
    <mergeCell ref="I6:J7"/>
    <mergeCell ref="L6:L7"/>
    <mergeCell ref="A6:A7"/>
    <mergeCell ref="B6:B7"/>
    <mergeCell ref="C6:D7"/>
    <mergeCell ref="E6:F7"/>
    <mergeCell ref="M6:M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V522"/>
  <sheetViews>
    <sheetView tabSelected="1" zoomScaleSheetLayoutView="75" workbookViewId="0" topLeftCell="A1">
      <selection activeCell="Q3" sqref="Q3"/>
    </sheetView>
  </sheetViews>
  <sheetFormatPr defaultColWidth="9.00390625" defaultRowHeight="12.75"/>
  <cols>
    <col min="1" max="1" width="5.125" style="118" customWidth="1"/>
    <col min="2" max="2" width="5.625" style="118" customWidth="1"/>
    <col min="3" max="3" width="28.125" style="118" customWidth="1"/>
    <col min="4" max="4" width="13.25390625" style="118" hidden="1" customWidth="1"/>
    <col min="5" max="5" width="14.625" style="118" hidden="1" customWidth="1"/>
    <col min="6" max="6" width="12.00390625" style="118" hidden="1" customWidth="1"/>
    <col min="7" max="7" width="5.625" style="118" hidden="1" customWidth="1"/>
    <col min="8" max="8" width="14.625" style="118" hidden="1" customWidth="1"/>
    <col min="9" max="9" width="12.625" style="118" hidden="1" customWidth="1"/>
    <col min="10" max="10" width="5.375" style="118" hidden="1" customWidth="1"/>
    <col min="11" max="11" width="9.875" style="118" customWidth="1"/>
    <col min="12" max="12" width="9.125" style="118" customWidth="1"/>
    <col min="13" max="13" width="9.25390625" style="118" customWidth="1"/>
    <col min="14" max="14" width="9.375" style="118" customWidth="1"/>
    <col min="15" max="15" width="8.00390625" style="118" customWidth="1"/>
    <col min="16" max="16" width="7.375" style="118" customWidth="1"/>
    <col min="17" max="22" width="9.125" style="118" customWidth="1"/>
  </cols>
  <sheetData>
    <row r="1" spans="13:15" ht="17.25" customHeight="1">
      <c r="M1" s="811" t="s">
        <v>202</v>
      </c>
      <c r="N1" s="811"/>
      <c r="O1" s="811"/>
    </row>
    <row r="2" spans="2:22" ht="18.75" customHeight="1">
      <c r="B2" s="814" t="s">
        <v>660</v>
      </c>
      <c r="C2" s="814"/>
      <c r="D2" s="814"/>
      <c r="E2" s="814"/>
      <c r="F2" s="814"/>
      <c r="G2" s="814"/>
      <c r="H2" s="814"/>
      <c r="I2" s="814"/>
      <c r="J2" s="814"/>
      <c r="K2" s="814"/>
      <c r="L2" s="814"/>
      <c r="M2" s="814"/>
      <c r="N2" s="814"/>
      <c r="O2" s="814"/>
      <c r="P2" s="813"/>
      <c r="Q2" s="813"/>
      <c r="R2" s="813"/>
      <c r="S2" s="813"/>
      <c r="T2" s="813"/>
      <c r="U2" s="813"/>
      <c r="V2" s="813"/>
    </row>
    <row r="3" spans="2:15" ht="15" customHeight="1" thickBot="1">
      <c r="B3" s="119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</row>
    <row r="4" spans="1:16" ht="13.5" customHeight="1" thickBot="1">
      <c r="A4" s="812" t="s">
        <v>203</v>
      </c>
      <c r="B4" s="820" t="s">
        <v>21</v>
      </c>
      <c r="C4" s="812" t="s">
        <v>663</v>
      </c>
      <c r="D4" s="120"/>
      <c r="E4" s="120"/>
      <c r="F4" s="120"/>
      <c r="G4" s="120"/>
      <c r="H4" s="834" t="s">
        <v>204</v>
      </c>
      <c r="I4" s="833" t="s">
        <v>205</v>
      </c>
      <c r="J4" s="833"/>
      <c r="K4" s="812" t="s">
        <v>662</v>
      </c>
      <c r="L4" s="819" t="s">
        <v>661</v>
      </c>
      <c r="M4" s="820" t="s">
        <v>206</v>
      </c>
      <c r="N4" s="820"/>
      <c r="O4" s="820"/>
      <c r="P4" s="810" t="s">
        <v>207</v>
      </c>
    </row>
    <row r="5" spans="1:16" ht="14.25" customHeight="1">
      <c r="A5" s="812"/>
      <c r="B5" s="820"/>
      <c r="C5" s="812"/>
      <c r="D5" s="841" t="s">
        <v>208</v>
      </c>
      <c r="E5" s="812" t="s">
        <v>10</v>
      </c>
      <c r="F5" s="812" t="s">
        <v>209</v>
      </c>
      <c r="G5" s="816" t="s">
        <v>210</v>
      </c>
      <c r="H5" s="835"/>
      <c r="I5" s="839" t="s">
        <v>13</v>
      </c>
      <c r="J5" s="817" t="s">
        <v>14</v>
      </c>
      <c r="K5" s="812"/>
      <c r="L5" s="819"/>
      <c r="M5" s="820"/>
      <c r="N5" s="820"/>
      <c r="O5" s="820"/>
      <c r="P5" s="810"/>
    </row>
    <row r="6" spans="1:16" ht="0.75" customHeight="1">
      <c r="A6" s="812"/>
      <c r="B6" s="820"/>
      <c r="C6" s="812"/>
      <c r="D6" s="842"/>
      <c r="E6" s="812"/>
      <c r="F6" s="812"/>
      <c r="G6" s="816"/>
      <c r="H6" s="835"/>
      <c r="I6" s="840"/>
      <c r="J6" s="832"/>
      <c r="K6" s="812"/>
      <c r="L6" s="819"/>
      <c r="M6" s="820"/>
      <c r="N6" s="820"/>
      <c r="O6" s="820"/>
      <c r="P6" s="810"/>
    </row>
    <row r="7" spans="1:16" ht="28.5" customHeight="1" thickBot="1">
      <c r="A7" s="812"/>
      <c r="B7" s="820"/>
      <c r="C7" s="812"/>
      <c r="D7" s="839"/>
      <c r="E7" s="818"/>
      <c r="F7" s="818"/>
      <c r="G7" s="817"/>
      <c r="H7" s="835"/>
      <c r="I7" s="840"/>
      <c r="J7" s="832"/>
      <c r="K7" s="812"/>
      <c r="L7" s="819"/>
      <c r="M7" s="121" t="s">
        <v>211</v>
      </c>
      <c r="N7" s="121" t="s">
        <v>212</v>
      </c>
      <c r="O7" s="122" t="s">
        <v>213</v>
      </c>
      <c r="P7" s="810"/>
    </row>
    <row r="8" spans="1:16" ht="15" customHeight="1" thickBot="1">
      <c r="A8" s="123">
        <v>1</v>
      </c>
      <c r="B8" s="123">
        <v>2</v>
      </c>
      <c r="C8" s="124">
        <v>3</v>
      </c>
      <c r="D8" s="125">
        <v>4</v>
      </c>
      <c r="E8" s="125">
        <v>4</v>
      </c>
      <c r="F8" s="125">
        <v>5</v>
      </c>
      <c r="G8" s="125">
        <v>6</v>
      </c>
      <c r="H8" s="125">
        <v>4</v>
      </c>
      <c r="I8" s="125">
        <v>5</v>
      </c>
      <c r="J8" s="125">
        <v>6</v>
      </c>
      <c r="K8" s="124">
        <v>4</v>
      </c>
      <c r="L8" s="124">
        <v>5</v>
      </c>
      <c r="M8" s="124">
        <v>6</v>
      </c>
      <c r="N8" s="124">
        <v>7</v>
      </c>
      <c r="O8" s="124">
        <v>8</v>
      </c>
      <c r="P8" s="124">
        <v>9</v>
      </c>
    </row>
    <row r="9" spans="1:18" ht="18.75" customHeight="1">
      <c r="A9" s="427" t="s">
        <v>24</v>
      </c>
      <c r="B9" s="428"/>
      <c r="C9" s="429" t="s">
        <v>214</v>
      </c>
      <c r="D9" s="429" t="e">
        <f>#REF!+D16</f>
        <v>#REF!</v>
      </c>
      <c r="E9" s="429" t="e">
        <f>#REF!+E16</f>
        <v>#REF!</v>
      </c>
      <c r="F9" s="429" t="e">
        <f>#REF!+F16</f>
        <v>#REF!</v>
      </c>
      <c r="G9" s="429" t="e">
        <f>#REF!+G16</f>
        <v>#REF!</v>
      </c>
      <c r="H9" s="429" t="e">
        <f>#REF!+H16+H14+H18</f>
        <v>#REF!</v>
      </c>
      <c r="I9" s="429" t="e">
        <f>#REF!+I16+I14+I18</f>
        <v>#REF!</v>
      </c>
      <c r="J9" s="429" t="e">
        <f>#REF!+J16+J14+J18</f>
        <v>#REF!</v>
      </c>
      <c r="K9" s="429">
        <f>K16+K18</f>
        <v>41700</v>
      </c>
      <c r="L9" s="429">
        <f>L16+L18</f>
        <v>41700</v>
      </c>
      <c r="M9" s="429">
        <f>M16+M18</f>
        <v>40000</v>
      </c>
      <c r="N9" s="429">
        <f>N16+N18</f>
        <v>0</v>
      </c>
      <c r="O9" s="429">
        <f>O16+O18</f>
        <v>1700</v>
      </c>
      <c r="P9" s="430">
        <f aca="true" t="shared" si="0" ref="P9:P42">L9/K9</f>
        <v>1</v>
      </c>
      <c r="R9" s="128"/>
    </row>
    <row r="10" spans="1:16" ht="12" customHeight="1" hidden="1">
      <c r="A10" s="129"/>
      <c r="B10" s="130" t="s">
        <v>215</v>
      </c>
      <c r="C10" s="131" t="s">
        <v>216</v>
      </c>
      <c r="D10" s="131"/>
      <c r="E10" s="131">
        <v>4100</v>
      </c>
      <c r="F10" s="131">
        <v>0</v>
      </c>
      <c r="G10" s="131">
        <v>0</v>
      </c>
      <c r="H10" s="131"/>
      <c r="I10" s="131"/>
      <c r="J10" s="131"/>
      <c r="K10" s="131"/>
      <c r="L10" s="131"/>
      <c r="M10" s="131"/>
      <c r="N10" s="132"/>
      <c r="O10" s="132"/>
      <c r="P10" s="127" t="e">
        <f t="shared" si="0"/>
        <v>#DIV/0!</v>
      </c>
    </row>
    <row r="11" spans="1:16" ht="0.75" customHeight="1" hidden="1">
      <c r="A11" s="129"/>
      <c r="B11" s="130" t="s">
        <v>217</v>
      </c>
      <c r="C11" s="133" t="s">
        <v>218</v>
      </c>
      <c r="D11" s="131"/>
      <c r="E11" s="131">
        <v>1760</v>
      </c>
      <c r="F11" s="131">
        <v>0</v>
      </c>
      <c r="G11" s="131">
        <v>0</v>
      </c>
      <c r="H11" s="131"/>
      <c r="I11" s="131"/>
      <c r="J11" s="131"/>
      <c r="K11" s="131"/>
      <c r="L11" s="131"/>
      <c r="M11" s="131"/>
      <c r="N11" s="132"/>
      <c r="O11" s="132"/>
      <c r="P11" s="127" t="e">
        <f t="shared" si="0"/>
        <v>#DIV/0!</v>
      </c>
    </row>
    <row r="12" spans="1:16" ht="16.5" customHeight="1" hidden="1">
      <c r="A12" s="836"/>
      <c r="B12" s="135" t="s">
        <v>219</v>
      </c>
      <c r="C12" s="74" t="s">
        <v>220</v>
      </c>
      <c r="D12" s="131"/>
      <c r="E12" s="131"/>
      <c r="F12" s="131"/>
      <c r="G12" s="131"/>
      <c r="H12" s="131">
        <v>0</v>
      </c>
      <c r="I12" s="131">
        <v>0</v>
      </c>
      <c r="J12" s="131">
        <v>0</v>
      </c>
      <c r="K12" s="131">
        <f>H12+I12-J12</f>
        <v>0</v>
      </c>
      <c r="L12" s="131"/>
      <c r="M12" s="131">
        <f>K12</f>
        <v>0</v>
      </c>
      <c r="N12" s="132">
        <v>0</v>
      </c>
      <c r="O12" s="132">
        <v>0</v>
      </c>
      <c r="P12" s="127" t="e">
        <f t="shared" si="0"/>
        <v>#DIV/0!</v>
      </c>
    </row>
    <row r="13" spans="1:16" ht="16.5" customHeight="1" hidden="1">
      <c r="A13" s="836"/>
      <c r="B13" s="130" t="s">
        <v>221</v>
      </c>
      <c r="C13" s="131" t="s">
        <v>222</v>
      </c>
      <c r="D13" s="131">
        <v>21825</v>
      </c>
      <c r="E13" s="131">
        <v>4654</v>
      </c>
      <c r="F13" s="131">
        <v>0</v>
      </c>
      <c r="G13" s="131">
        <v>0</v>
      </c>
      <c r="H13" s="131">
        <v>0</v>
      </c>
      <c r="I13" s="131">
        <v>0</v>
      </c>
      <c r="J13" s="131">
        <v>0</v>
      </c>
      <c r="K13" s="131">
        <f>H13+I13-J13</f>
        <v>0</v>
      </c>
      <c r="L13" s="131"/>
      <c r="M13" s="131">
        <f>K13</f>
        <v>0</v>
      </c>
      <c r="N13" s="132">
        <v>0</v>
      </c>
      <c r="O13" s="132">
        <v>0</v>
      </c>
      <c r="P13" s="127" t="e">
        <f t="shared" si="0"/>
        <v>#DIV/0!</v>
      </c>
    </row>
    <row r="14" spans="1:16" ht="27.75" customHeight="1" hidden="1">
      <c r="A14" s="123" t="s">
        <v>223</v>
      </c>
      <c r="B14" s="136"/>
      <c r="C14" s="137" t="s">
        <v>224</v>
      </c>
      <c r="D14" s="138"/>
      <c r="E14" s="138"/>
      <c r="F14" s="138"/>
      <c r="G14" s="138"/>
      <c r="H14" s="138">
        <f>H15</f>
        <v>0</v>
      </c>
      <c r="I14" s="138">
        <f>I15</f>
        <v>0</v>
      </c>
      <c r="J14" s="138">
        <f>J15</f>
        <v>0</v>
      </c>
      <c r="K14" s="138">
        <f>K15</f>
        <v>0</v>
      </c>
      <c r="L14" s="138"/>
      <c r="M14" s="138">
        <f>M15</f>
        <v>0</v>
      </c>
      <c r="N14" s="138">
        <f>N15</f>
        <v>0</v>
      </c>
      <c r="O14" s="138">
        <f>O15</f>
        <v>0</v>
      </c>
      <c r="P14" s="127" t="e">
        <f t="shared" si="0"/>
        <v>#DIV/0!</v>
      </c>
    </row>
    <row r="15" spans="1:16" ht="18.75" customHeight="1" hidden="1">
      <c r="A15" s="123"/>
      <c r="B15" s="130" t="s">
        <v>225</v>
      </c>
      <c r="C15" s="74" t="s">
        <v>226</v>
      </c>
      <c r="D15" s="131"/>
      <c r="E15" s="131"/>
      <c r="F15" s="131"/>
      <c r="G15" s="131"/>
      <c r="H15" s="131">
        <v>0</v>
      </c>
      <c r="I15" s="131">
        <v>0</v>
      </c>
      <c r="J15" s="131">
        <v>0</v>
      </c>
      <c r="K15" s="131">
        <v>0</v>
      </c>
      <c r="L15" s="131"/>
      <c r="M15" s="131">
        <f>K15</f>
        <v>0</v>
      </c>
      <c r="N15" s="132">
        <v>0</v>
      </c>
      <c r="O15" s="132">
        <v>0</v>
      </c>
      <c r="P15" s="127" t="e">
        <f t="shared" si="0"/>
        <v>#DIV/0!</v>
      </c>
    </row>
    <row r="16" spans="1:16" ht="22.5" customHeight="1">
      <c r="A16" s="448" t="s">
        <v>27</v>
      </c>
      <c r="B16" s="460"/>
      <c r="C16" s="450" t="s">
        <v>227</v>
      </c>
      <c r="D16" s="451">
        <f aca="true" t="shared" si="1" ref="D16:O16">D17</f>
        <v>0</v>
      </c>
      <c r="E16" s="451">
        <f t="shared" si="1"/>
        <v>37400</v>
      </c>
      <c r="F16" s="451">
        <f t="shared" si="1"/>
        <v>0</v>
      </c>
      <c r="G16" s="451">
        <f t="shared" si="1"/>
        <v>0</v>
      </c>
      <c r="H16" s="451">
        <f t="shared" si="1"/>
        <v>45000</v>
      </c>
      <c r="I16" s="451">
        <f t="shared" si="1"/>
        <v>0</v>
      </c>
      <c r="J16" s="451">
        <f t="shared" si="1"/>
        <v>0</v>
      </c>
      <c r="K16" s="451">
        <f t="shared" si="1"/>
        <v>40000</v>
      </c>
      <c r="L16" s="451">
        <f t="shared" si="1"/>
        <v>40000</v>
      </c>
      <c r="M16" s="451">
        <f t="shared" si="1"/>
        <v>40000</v>
      </c>
      <c r="N16" s="454">
        <f t="shared" si="1"/>
        <v>0</v>
      </c>
      <c r="O16" s="454">
        <f t="shared" si="1"/>
        <v>0</v>
      </c>
      <c r="P16" s="452">
        <f t="shared" si="0"/>
        <v>1</v>
      </c>
    </row>
    <row r="17" spans="1:16" ht="15.75" customHeight="1">
      <c r="A17" s="134"/>
      <c r="B17" s="130" t="s">
        <v>228</v>
      </c>
      <c r="C17" s="74" t="s">
        <v>229</v>
      </c>
      <c r="D17" s="131">
        <v>0</v>
      </c>
      <c r="E17" s="131">
        <v>37400</v>
      </c>
      <c r="F17" s="131">
        <v>0</v>
      </c>
      <c r="G17" s="131">
        <v>0</v>
      </c>
      <c r="H17" s="131">
        <v>45000</v>
      </c>
      <c r="I17" s="131">
        <v>0</v>
      </c>
      <c r="J17" s="131">
        <v>0</v>
      </c>
      <c r="K17" s="131">
        <v>40000</v>
      </c>
      <c r="L17" s="131">
        <v>40000</v>
      </c>
      <c r="M17" s="131">
        <f>L17</f>
        <v>40000</v>
      </c>
      <c r="N17" s="132">
        <v>0</v>
      </c>
      <c r="O17" s="132">
        <v>0</v>
      </c>
      <c r="P17" s="127">
        <f t="shared" si="0"/>
        <v>1</v>
      </c>
    </row>
    <row r="18" spans="1:16" ht="15.75" customHeight="1">
      <c r="A18" s="448" t="s">
        <v>34</v>
      </c>
      <c r="B18" s="460"/>
      <c r="C18" s="450" t="s">
        <v>33</v>
      </c>
      <c r="D18" s="451"/>
      <c r="E18" s="451"/>
      <c r="F18" s="451"/>
      <c r="G18" s="451"/>
      <c r="H18" s="451">
        <f aca="true" t="shared" si="2" ref="H18:O18">H19</f>
        <v>1200</v>
      </c>
      <c r="I18" s="451">
        <f t="shared" si="2"/>
        <v>0</v>
      </c>
      <c r="J18" s="451">
        <f t="shared" si="2"/>
        <v>0</v>
      </c>
      <c r="K18" s="451">
        <f t="shared" si="2"/>
        <v>1700</v>
      </c>
      <c r="L18" s="451">
        <f t="shared" si="2"/>
        <v>1700</v>
      </c>
      <c r="M18" s="451">
        <f t="shared" si="2"/>
        <v>0</v>
      </c>
      <c r="N18" s="451">
        <f t="shared" si="2"/>
        <v>0</v>
      </c>
      <c r="O18" s="451">
        <f t="shared" si="2"/>
        <v>1700</v>
      </c>
      <c r="P18" s="452">
        <f t="shared" si="0"/>
        <v>1</v>
      </c>
    </row>
    <row r="19" spans="1:16" ht="23.25" customHeight="1">
      <c r="A19" s="134"/>
      <c r="B19" s="130" t="s">
        <v>230</v>
      </c>
      <c r="C19" s="74" t="s">
        <v>231</v>
      </c>
      <c r="D19" s="131"/>
      <c r="E19" s="131"/>
      <c r="F19" s="131"/>
      <c r="G19" s="131"/>
      <c r="H19" s="131">
        <v>1200</v>
      </c>
      <c r="I19" s="131">
        <v>0</v>
      </c>
      <c r="J19" s="131">
        <v>0</v>
      </c>
      <c r="K19" s="131">
        <v>1700</v>
      </c>
      <c r="L19" s="131">
        <v>1700</v>
      </c>
      <c r="M19" s="131">
        <v>0</v>
      </c>
      <c r="N19" s="132">
        <v>0</v>
      </c>
      <c r="O19" s="132">
        <f>L19</f>
        <v>1700</v>
      </c>
      <c r="P19" s="127">
        <f t="shared" si="0"/>
        <v>1</v>
      </c>
    </row>
    <row r="20" spans="1:16" ht="17.25" customHeight="1">
      <c r="A20" s="431" t="s">
        <v>39</v>
      </c>
      <c r="B20" s="432"/>
      <c r="C20" s="433" t="s">
        <v>232</v>
      </c>
      <c r="D20" s="433">
        <f aca="true" t="shared" si="3" ref="D20:G21">D21</f>
        <v>29992</v>
      </c>
      <c r="E20" s="433">
        <f t="shared" si="3"/>
        <v>21000</v>
      </c>
      <c r="F20" s="433">
        <f t="shared" si="3"/>
        <v>0</v>
      </c>
      <c r="G20" s="433">
        <f t="shared" si="3"/>
        <v>0</v>
      </c>
      <c r="H20" s="433">
        <f aca="true" t="shared" si="4" ref="H20:O20">H21+H23</f>
        <v>94025</v>
      </c>
      <c r="I20" s="433">
        <f t="shared" si="4"/>
        <v>0</v>
      </c>
      <c r="J20" s="433">
        <f t="shared" si="4"/>
        <v>0</v>
      </c>
      <c r="K20" s="433">
        <f t="shared" si="4"/>
        <v>148040</v>
      </c>
      <c r="L20" s="433">
        <f t="shared" si="4"/>
        <v>148040</v>
      </c>
      <c r="M20" s="433">
        <f t="shared" si="4"/>
        <v>0</v>
      </c>
      <c r="N20" s="433">
        <f t="shared" si="4"/>
        <v>148040</v>
      </c>
      <c r="O20" s="433">
        <f t="shared" si="4"/>
        <v>0</v>
      </c>
      <c r="P20" s="430">
        <f t="shared" si="0"/>
        <v>1</v>
      </c>
    </row>
    <row r="21" spans="1:16" ht="17.25" customHeight="1">
      <c r="A21" s="449" t="s">
        <v>41</v>
      </c>
      <c r="B21" s="459"/>
      <c r="C21" s="451" t="s">
        <v>40</v>
      </c>
      <c r="D21" s="451">
        <f t="shared" si="3"/>
        <v>29992</v>
      </c>
      <c r="E21" s="451">
        <f t="shared" si="3"/>
        <v>21000</v>
      </c>
      <c r="F21" s="451">
        <f t="shared" si="3"/>
        <v>0</v>
      </c>
      <c r="G21" s="451">
        <f t="shared" si="3"/>
        <v>0</v>
      </c>
      <c r="H21" s="451">
        <f aca="true" t="shared" si="5" ref="H21:O21">H22</f>
        <v>83025</v>
      </c>
      <c r="I21" s="451">
        <f t="shared" si="5"/>
        <v>0</v>
      </c>
      <c r="J21" s="451">
        <f t="shared" si="5"/>
        <v>0</v>
      </c>
      <c r="K21" s="451">
        <f t="shared" si="5"/>
        <v>137048</v>
      </c>
      <c r="L21" s="451">
        <f t="shared" si="5"/>
        <v>137048</v>
      </c>
      <c r="M21" s="451">
        <f t="shared" si="5"/>
        <v>0</v>
      </c>
      <c r="N21" s="454">
        <f t="shared" si="5"/>
        <v>137048</v>
      </c>
      <c r="O21" s="454">
        <f t="shared" si="5"/>
        <v>0</v>
      </c>
      <c r="P21" s="452">
        <f t="shared" si="0"/>
        <v>1</v>
      </c>
    </row>
    <row r="22" spans="1:16" ht="16.5" customHeight="1">
      <c r="A22" s="140"/>
      <c r="B22" s="130" t="s">
        <v>217</v>
      </c>
      <c r="C22" s="131" t="s">
        <v>233</v>
      </c>
      <c r="D22" s="131">
        <v>29992</v>
      </c>
      <c r="E22" s="131">
        <v>21000</v>
      </c>
      <c r="F22" s="131">
        <v>0</v>
      </c>
      <c r="G22" s="131">
        <v>0</v>
      </c>
      <c r="H22" s="131">
        <v>83025</v>
      </c>
      <c r="I22" s="131">
        <v>0</v>
      </c>
      <c r="J22" s="131">
        <v>0</v>
      </c>
      <c r="K22" s="131">
        <v>137048</v>
      </c>
      <c r="L22" s="131">
        <v>137048</v>
      </c>
      <c r="M22" s="131">
        <v>0</v>
      </c>
      <c r="N22" s="132">
        <f>L22</f>
        <v>137048</v>
      </c>
      <c r="O22" s="132">
        <v>0</v>
      </c>
      <c r="P22" s="127">
        <f t="shared" si="0"/>
        <v>1</v>
      </c>
    </row>
    <row r="23" spans="1:16" ht="15" customHeight="1">
      <c r="A23" s="449" t="s">
        <v>234</v>
      </c>
      <c r="B23" s="459"/>
      <c r="C23" s="451" t="s">
        <v>235</v>
      </c>
      <c r="D23" s="456"/>
      <c r="E23" s="456"/>
      <c r="F23" s="456"/>
      <c r="G23" s="456"/>
      <c r="H23" s="451">
        <f aca="true" t="shared" si="6" ref="H23:O23">H25+H24</f>
        <v>11000</v>
      </c>
      <c r="I23" s="451">
        <f t="shared" si="6"/>
        <v>0</v>
      </c>
      <c r="J23" s="451">
        <f t="shared" si="6"/>
        <v>0</v>
      </c>
      <c r="K23" s="451">
        <f t="shared" si="6"/>
        <v>10992</v>
      </c>
      <c r="L23" s="451">
        <f t="shared" si="6"/>
        <v>10992</v>
      </c>
      <c r="M23" s="451">
        <f t="shared" si="6"/>
        <v>0</v>
      </c>
      <c r="N23" s="451">
        <f t="shared" si="6"/>
        <v>10992</v>
      </c>
      <c r="O23" s="451">
        <f t="shared" si="6"/>
        <v>0</v>
      </c>
      <c r="P23" s="452">
        <f t="shared" si="0"/>
        <v>1</v>
      </c>
    </row>
    <row r="24" spans="1:16" ht="16.5" customHeight="1">
      <c r="A24" s="129"/>
      <c r="B24" s="130" t="s">
        <v>225</v>
      </c>
      <c r="C24" s="131" t="s">
        <v>226</v>
      </c>
      <c r="D24" s="131"/>
      <c r="E24" s="131"/>
      <c r="F24" s="131"/>
      <c r="G24" s="131"/>
      <c r="H24" s="131">
        <v>942</v>
      </c>
      <c r="I24" s="131">
        <v>0</v>
      </c>
      <c r="J24" s="131">
        <v>0</v>
      </c>
      <c r="K24" s="131">
        <v>0</v>
      </c>
      <c r="L24" s="131">
        <v>0</v>
      </c>
      <c r="M24" s="131">
        <v>0</v>
      </c>
      <c r="N24" s="131">
        <f>L24</f>
        <v>0</v>
      </c>
      <c r="O24" s="131">
        <v>0</v>
      </c>
      <c r="P24" s="127">
        <v>0</v>
      </c>
    </row>
    <row r="25" spans="1:16" ht="16.5" customHeight="1">
      <c r="A25" s="140"/>
      <c r="B25" s="130" t="s">
        <v>228</v>
      </c>
      <c r="C25" s="131" t="s">
        <v>229</v>
      </c>
      <c r="D25" s="131"/>
      <c r="E25" s="131"/>
      <c r="F25" s="131"/>
      <c r="G25" s="131"/>
      <c r="H25" s="131">
        <v>10058</v>
      </c>
      <c r="I25" s="131">
        <v>0</v>
      </c>
      <c r="J25" s="131">
        <v>0</v>
      </c>
      <c r="K25" s="131">
        <v>10992</v>
      </c>
      <c r="L25" s="131">
        <v>10992</v>
      </c>
      <c r="M25" s="131">
        <v>0</v>
      </c>
      <c r="N25" s="132">
        <f>L25</f>
        <v>10992</v>
      </c>
      <c r="O25" s="132">
        <v>0</v>
      </c>
      <c r="P25" s="127">
        <f t="shared" si="0"/>
        <v>1</v>
      </c>
    </row>
    <row r="26" spans="1:16" ht="18" customHeight="1">
      <c r="A26" s="431" t="s">
        <v>46</v>
      </c>
      <c r="B26" s="432"/>
      <c r="C26" s="433" t="s">
        <v>236</v>
      </c>
      <c r="D26" s="433" t="e">
        <f aca="true" t="shared" si="7" ref="D26:O26">D27</f>
        <v>#REF!</v>
      </c>
      <c r="E26" s="433" t="e">
        <f t="shared" si="7"/>
        <v>#REF!</v>
      </c>
      <c r="F26" s="433" t="e">
        <f t="shared" si="7"/>
        <v>#REF!</v>
      </c>
      <c r="G26" s="433" t="e">
        <f t="shared" si="7"/>
        <v>#REF!</v>
      </c>
      <c r="H26" s="433" t="e">
        <f t="shared" si="7"/>
        <v>#REF!</v>
      </c>
      <c r="I26" s="433" t="e">
        <f t="shared" si="7"/>
        <v>#REF!</v>
      </c>
      <c r="J26" s="433" t="e">
        <f t="shared" si="7"/>
        <v>#REF!</v>
      </c>
      <c r="K26" s="433">
        <f t="shared" si="7"/>
        <v>7539776</v>
      </c>
      <c r="L26" s="433">
        <f t="shared" si="7"/>
        <v>7539427</v>
      </c>
      <c r="M26" s="433">
        <f t="shared" si="7"/>
        <v>0</v>
      </c>
      <c r="N26" s="434">
        <f t="shared" si="7"/>
        <v>7480547</v>
      </c>
      <c r="O26" s="434">
        <f t="shared" si="7"/>
        <v>58880</v>
      </c>
      <c r="P26" s="430">
        <f t="shared" si="0"/>
        <v>0.9999537121527218</v>
      </c>
    </row>
    <row r="27" spans="1:16" ht="17.25" customHeight="1">
      <c r="A27" s="449" t="s">
        <v>48</v>
      </c>
      <c r="B27" s="459"/>
      <c r="C27" s="451" t="s">
        <v>237</v>
      </c>
      <c r="D27" s="451" t="e">
        <f>D28+D29+D30+D33+D44+#REF!</f>
        <v>#REF!</v>
      </c>
      <c r="E27" s="451" t="e">
        <f>E28+E29+E30+E31+E33+E34+E35+E36+E37+E38+E40+E41+E42+E43+E44+E45+#REF!+#REF!</f>
        <v>#REF!</v>
      </c>
      <c r="F27" s="451" t="e">
        <f>F28+F29+F30+F31+F33+F34+F35+F36+F37+F38+F40+F41+F42+F43+F45+#REF!+#REF!+#REF!</f>
        <v>#REF!</v>
      </c>
      <c r="G27" s="451" t="e">
        <f>G28+G29+G30+G31+G33+G34+G35+G36+G37+G38+G40+G41+G42+G43+G45+#REF!+#REF!+#REF!</f>
        <v>#REF!</v>
      </c>
      <c r="H27" s="451" t="e">
        <f>H28+H29+H30+H31+H33+H34+H35+H36+H37+H38+H40+H41+H42+H43+H45+#REF!+#REF!+#REF!+H47+H49+H44</f>
        <v>#REF!</v>
      </c>
      <c r="I27" s="451" t="e">
        <f>I28+I29+I30+I31+I33+I34+I35+I36+I37+I38+I40+I41+I42+I43+I45+#REF!+#REF!+#REF!+I47+I49+I44</f>
        <v>#REF!</v>
      </c>
      <c r="J27" s="451" t="e">
        <f>J28+J29+J30+J31+J33+J34+J35+J36+J37+J38+J40+J41+J42+J43+J45+#REF!+#REF!+#REF!+J47+J49+J44</f>
        <v>#REF!</v>
      </c>
      <c r="K27" s="451">
        <f>K28+K29+K30+K31+K32+K33+K34+K35+K36+K37+K38+K39+K40+K41+K42+K43+K45+K46+K47+K48+K49+K44</f>
        <v>7539776</v>
      </c>
      <c r="L27" s="451">
        <f>L28+L29+L30+L31+L32+L33+L34+L35+L36+L37+L38+L39+L40+L41+L42+L43+L45+L46+L47+L48+L49+L44</f>
        <v>7539427</v>
      </c>
      <c r="M27" s="451">
        <f>M28+M29+M30+M31+M32+M33+M34+M35+M36+M37+M38+M39+M40+M41+M42+M43+M45+M46+M47+M48+M49+M44</f>
        <v>0</v>
      </c>
      <c r="N27" s="451">
        <f>N28+N29+N30+N31+N32+N33+N34+N35+N36+N37+N38+N39+N40+N41+N42+N43+N45+N46+N47+N48+N49+N44</f>
        <v>7480547</v>
      </c>
      <c r="O27" s="451">
        <f>O28+O29+O30+O31+O32+O33+O34+O35+O36+O37+O38+O39+O40+O41+O42+O43+O45+O46+O47+O48+O49+O44</f>
        <v>58880</v>
      </c>
      <c r="P27" s="452">
        <f t="shared" si="0"/>
        <v>0.9999537121527218</v>
      </c>
    </row>
    <row r="28" spans="1:16" ht="15" customHeight="1">
      <c r="A28" s="134"/>
      <c r="B28" s="130" t="s">
        <v>238</v>
      </c>
      <c r="C28" s="74" t="s">
        <v>239</v>
      </c>
      <c r="D28" s="131">
        <v>580000</v>
      </c>
      <c r="E28" s="131">
        <v>599500</v>
      </c>
      <c r="F28" s="131">
        <v>0</v>
      </c>
      <c r="G28" s="131">
        <v>0</v>
      </c>
      <c r="H28" s="131">
        <v>346415</v>
      </c>
      <c r="I28" s="131">
        <v>0</v>
      </c>
      <c r="J28" s="131">
        <v>0</v>
      </c>
      <c r="K28" s="131">
        <v>304950</v>
      </c>
      <c r="L28" s="131">
        <v>304950</v>
      </c>
      <c r="M28" s="131">
        <v>0</v>
      </c>
      <c r="N28" s="132">
        <f aca="true" t="shared" si="8" ref="N28:N47">L28</f>
        <v>304950</v>
      </c>
      <c r="O28" s="132">
        <v>0</v>
      </c>
      <c r="P28" s="127">
        <f t="shared" si="0"/>
        <v>1</v>
      </c>
    </row>
    <row r="29" spans="1:16" ht="15.75" customHeight="1">
      <c r="A29" s="134"/>
      <c r="B29" s="130" t="s">
        <v>240</v>
      </c>
      <c r="C29" s="74" t="s">
        <v>241</v>
      </c>
      <c r="D29" s="131">
        <v>37980</v>
      </c>
      <c r="E29" s="131">
        <v>46300</v>
      </c>
      <c r="F29" s="131">
        <v>0</v>
      </c>
      <c r="G29" s="131">
        <v>41</v>
      </c>
      <c r="H29" s="131">
        <v>33240</v>
      </c>
      <c r="I29" s="131">
        <v>0</v>
      </c>
      <c r="J29" s="131">
        <v>0</v>
      </c>
      <c r="K29" s="131">
        <v>28244</v>
      </c>
      <c r="L29" s="131">
        <v>28244</v>
      </c>
      <c r="M29" s="131">
        <v>0</v>
      </c>
      <c r="N29" s="132">
        <f t="shared" si="8"/>
        <v>28244</v>
      </c>
      <c r="O29" s="132">
        <v>0</v>
      </c>
      <c r="P29" s="127">
        <f t="shared" si="0"/>
        <v>1</v>
      </c>
    </row>
    <row r="30" spans="1:16" ht="16.5" customHeight="1">
      <c r="A30" s="134"/>
      <c r="B30" s="135" t="s">
        <v>242</v>
      </c>
      <c r="C30" s="74" t="s">
        <v>243</v>
      </c>
      <c r="D30" s="131">
        <v>121770</v>
      </c>
      <c r="E30" s="131">
        <v>110000</v>
      </c>
      <c r="F30" s="131">
        <v>0</v>
      </c>
      <c r="G30" s="131">
        <v>1150</v>
      </c>
      <c r="H30" s="131">
        <v>73348</v>
      </c>
      <c r="I30" s="131">
        <v>0</v>
      </c>
      <c r="J30" s="131">
        <v>287</v>
      </c>
      <c r="K30" s="131">
        <v>58784</v>
      </c>
      <c r="L30" s="131">
        <v>58784</v>
      </c>
      <c r="M30" s="131">
        <v>0</v>
      </c>
      <c r="N30" s="132">
        <f t="shared" si="8"/>
        <v>58784</v>
      </c>
      <c r="O30" s="132">
        <v>0</v>
      </c>
      <c r="P30" s="127">
        <f t="shared" si="0"/>
        <v>1</v>
      </c>
    </row>
    <row r="31" spans="1:16" ht="14.25" customHeight="1">
      <c r="A31" s="134"/>
      <c r="B31" s="135" t="s">
        <v>244</v>
      </c>
      <c r="C31" s="74" t="s">
        <v>245</v>
      </c>
      <c r="D31" s="131"/>
      <c r="E31" s="131">
        <v>12400</v>
      </c>
      <c r="F31" s="131">
        <v>2500</v>
      </c>
      <c r="G31" s="131">
        <v>0</v>
      </c>
      <c r="H31" s="131">
        <v>10132</v>
      </c>
      <c r="I31" s="131">
        <v>0</v>
      </c>
      <c r="J31" s="131">
        <v>6</v>
      </c>
      <c r="K31" s="131">
        <v>8866</v>
      </c>
      <c r="L31" s="131">
        <v>8866</v>
      </c>
      <c r="M31" s="131">
        <v>0</v>
      </c>
      <c r="N31" s="132">
        <f t="shared" si="8"/>
        <v>8866</v>
      </c>
      <c r="O31" s="132">
        <v>0</v>
      </c>
      <c r="P31" s="127">
        <f t="shared" si="0"/>
        <v>1</v>
      </c>
    </row>
    <row r="32" spans="1:16" ht="14.25" customHeight="1">
      <c r="A32" s="134"/>
      <c r="B32" s="135" t="s">
        <v>665</v>
      </c>
      <c r="C32" s="74" t="s">
        <v>666</v>
      </c>
      <c r="D32" s="131"/>
      <c r="E32" s="131"/>
      <c r="F32" s="131"/>
      <c r="G32" s="131"/>
      <c r="H32" s="131"/>
      <c r="I32" s="131"/>
      <c r="J32" s="131"/>
      <c r="K32" s="131">
        <v>990</v>
      </c>
      <c r="L32" s="131">
        <v>990</v>
      </c>
      <c r="M32" s="131">
        <v>0</v>
      </c>
      <c r="N32" s="132">
        <f t="shared" si="8"/>
        <v>990</v>
      </c>
      <c r="O32" s="132">
        <v>0</v>
      </c>
      <c r="P32" s="127">
        <f t="shared" si="0"/>
        <v>1</v>
      </c>
    </row>
    <row r="33" spans="1:16" ht="14.25" customHeight="1">
      <c r="A33" s="134"/>
      <c r="B33" s="130" t="s">
        <v>215</v>
      </c>
      <c r="C33" s="131" t="s">
        <v>246</v>
      </c>
      <c r="D33" s="131">
        <v>1296250</v>
      </c>
      <c r="E33" s="131">
        <v>4000</v>
      </c>
      <c r="F33" s="131">
        <v>0</v>
      </c>
      <c r="G33" s="131">
        <v>0</v>
      </c>
      <c r="H33" s="131">
        <v>6000</v>
      </c>
      <c r="I33" s="131">
        <v>0</v>
      </c>
      <c r="J33" s="131">
        <v>1295</v>
      </c>
      <c r="K33" s="131">
        <v>3546</v>
      </c>
      <c r="L33" s="131">
        <v>3546</v>
      </c>
      <c r="M33" s="131">
        <v>0</v>
      </c>
      <c r="N33" s="132">
        <f t="shared" si="8"/>
        <v>3546</v>
      </c>
      <c r="O33" s="132">
        <v>0</v>
      </c>
      <c r="P33" s="127">
        <f t="shared" si="0"/>
        <v>1</v>
      </c>
    </row>
    <row r="34" spans="1:16" ht="17.25" customHeight="1" hidden="1">
      <c r="A34" s="134"/>
      <c r="B34" s="130" t="s">
        <v>247</v>
      </c>
      <c r="C34" s="74" t="s">
        <v>248</v>
      </c>
      <c r="D34" s="131">
        <v>1156000</v>
      </c>
      <c r="E34" s="131">
        <v>300</v>
      </c>
      <c r="F34" s="131">
        <v>0</v>
      </c>
      <c r="G34" s="131">
        <v>300</v>
      </c>
      <c r="H34" s="131">
        <v>0</v>
      </c>
      <c r="I34" s="131">
        <v>0</v>
      </c>
      <c r="J34" s="131">
        <v>0</v>
      </c>
      <c r="K34" s="131">
        <f>H34+I34-J34</f>
        <v>0</v>
      </c>
      <c r="L34" s="131"/>
      <c r="M34" s="131">
        <v>0</v>
      </c>
      <c r="N34" s="132">
        <f t="shared" si="8"/>
        <v>0</v>
      </c>
      <c r="O34" s="132">
        <v>0</v>
      </c>
      <c r="P34" s="127" t="e">
        <f t="shared" si="0"/>
        <v>#DIV/0!</v>
      </c>
    </row>
    <row r="35" spans="1:16" ht="12.75" customHeight="1">
      <c r="A35" s="134"/>
      <c r="B35" s="130" t="s">
        <v>225</v>
      </c>
      <c r="C35" s="74" t="s">
        <v>249</v>
      </c>
      <c r="D35" s="131"/>
      <c r="E35" s="131">
        <v>130378</v>
      </c>
      <c r="F35" s="131">
        <v>40000</v>
      </c>
      <c r="G35" s="131">
        <v>0</v>
      </c>
      <c r="H35" s="131">
        <v>140000</v>
      </c>
      <c r="I35" s="131">
        <v>10000</v>
      </c>
      <c r="J35" s="131">
        <v>0</v>
      </c>
      <c r="K35" s="131">
        <v>242096</v>
      </c>
      <c r="L35" s="131">
        <v>242096</v>
      </c>
      <c r="M35" s="131">
        <v>0</v>
      </c>
      <c r="N35" s="132">
        <f t="shared" si="8"/>
        <v>242096</v>
      </c>
      <c r="O35" s="132">
        <v>0</v>
      </c>
      <c r="P35" s="127">
        <f t="shared" si="0"/>
        <v>1</v>
      </c>
    </row>
    <row r="36" spans="1:16" ht="14.25" customHeight="1">
      <c r="A36" s="134"/>
      <c r="B36" s="130" t="s">
        <v>250</v>
      </c>
      <c r="C36" s="74" t="s">
        <v>251</v>
      </c>
      <c r="D36" s="131"/>
      <c r="E36" s="131">
        <v>33000</v>
      </c>
      <c r="F36" s="131">
        <v>5000</v>
      </c>
      <c r="G36" s="131">
        <v>0</v>
      </c>
      <c r="H36" s="131">
        <v>30000</v>
      </c>
      <c r="I36" s="131">
        <v>0</v>
      </c>
      <c r="J36" s="131">
        <v>1650</v>
      </c>
      <c r="K36" s="131">
        <v>26350</v>
      </c>
      <c r="L36" s="131">
        <v>26350</v>
      </c>
      <c r="M36" s="131">
        <v>0</v>
      </c>
      <c r="N36" s="132">
        <f t="shared" si="8"/>
        <v>26350</v>
      </c>
      <c r="O36" s="132">
        <v>0</v>
      </c>
      <c r="P36" s="127">
        <f t="shared" si="0"/>
        <v>1</v>
      </c>
    </row>
    <row r="37" spans="1:16" ht="13.5" customHeight="1">
      <c r="A37" s="134"/>
      <c r="B37" s="130" t="s">
        <v>252</v>
      </c>
      <c r="C37" s="74" t="s">
        <v>253</v>
      </c>
      <c r="D37" s="131"/>
      <c r="E37" s="131">
        <v>613990</v>
      </c>
      <c r="F37" s="131">
        <v>0</v>
      </c>
      <c r="G37" s="131">
        <v>500000</v>
      </c>
      <c r="H37" s="131">
        <v>7000</v>
      </c>
      <c r="I37" s="131">
        <v>200</v>
      </c>
      <c r="J37" s="131">
        <v>0</v>
      </c>
      <c r="K37" s="131">
        <v>90453</v>
      </c>
      <c r="L37" s="131">
        <v>90453</v>
      </c>
      <c r="M37" s="131">
        <v>0</v>
      </c>
      <c r="N37" s="132">
        <f t="shared" si="8"/>
        <v>90453</v>
      </c>
      <c r="O37" s="132">
        <v>0</v>
      </c>
      <c r="P37" s="127">
        <f t="shared" si="0"/>
        <v>1</v>
      </c>
    </row>
    <row r="38" spans="1:16" ht="14.25" customHeight="1">
      <c r="A38" s="134"/>
      <c r="B38" s="130" t="s">
        <v>228</v>
      </c>
      <c r="C38" s="74" t="s">
        <v>229</v>
      </c>
      <c r="D38" s="131"/>
      <c r="E38" s="131">
        <v>828700</v>
      </c>
      <c r="F38" s="131">
        <v>0</v>
      </c>
      <c r="G38" s="131">
        <v>142451</v>
      </c>
      <c r="H38" s="131">
        <v>456968</v>
      </c>
      <c r="I38" s="131">
        <v>0</v>
      </c>
      <c r="J38" s="131">
        <v>6547</v>
      </c>
      <c r="K38" s="131">
        <v>326255</v>
      </c>
      <c r="L38" s="131">
        <v>326255</v>
      </c>
      <c r="M38" s="131">
        <v>0</v>
      </c>
      <c r="N38" s="132">
        <f t="shared" si="8"/>
        <v>326255</v>
      </c>
      <c r="O38" s="132">
        <v>0</v>
      </c>
      <c r="P38" s="127">
        <f t="shared" si="0"/>
        <v>1</v>
      </c>
    </row>
    <row r="39" spans="1:16" ht="14.25" customHeight="1">
      <c r="A39" s="134"/>
      <c r="B39" s="130" t="s">
        <v>667</v>
      </c>
      <c r="C39" s="74" t="s">
        <v>668</v>
      </c>
      <c r="D39" s="131"/>
      <c r="E39" s="131"/>
      <c r="F39" s="131"/>
      <c r="G39" s="131"/>
      <c r="H39" s="131"/>
      <c r="I39" s="131"/>
      <c r="J39" s="131"/>
      <c r="K39" s="131">
        <v>3033</v>
      </c>
      <c r="L39" s="131">
        <v>3033</v>
      </c>
      <c r="M39" s="131">
        <v>0</v>
      </c>
      <c r="N39" s="132">
        <f t="shared" si="8"/>
        <v>3033</v>
      </c>
      <c r="O39" s="132">
        <v>0</v>
      </c>
      <c r="P39" s="127">
        <f t="shared" si="0"/>
        <v>1</v>
      </c>
    </row>
    <row r="40" spans="1:16" ht="15.75" customHeight="1">
      <c r="A40" s="134"/>
      <c r="B40" s="130" t="s">
        <v>254</v>
      </c>
      <c r="C40" s="74" t="s">
        <v>255</v>
      </c>
      <c r="D40" s="131"/>
      <c r="E40" s="131">
        <v>660</v>
      </c>
      <c r="F40" s="131">
        <v>0</v>
      </c>
      <c r="G40" s="131">
        <v>300</v>
      </c>
      <c r="H40" s="131">
        <v>500</v>
      </c>
      <c r="I40" s="131">
        <v>0</v>
      </c>
      <c r="J40" s="131">
        <v>100</v>
      </c>
      <c r="K40" s="131">
        <v>1050</v>
      </c>
      <c r="L40" s="131">
        <v>1050</v>
      </c>
      <c r="M40" s="131">
        <v>0</v>
      </c>
      <c r="N40" s="132">
        <f t="shared" si="8"/>
        <v>1050</v>
      </c>
      <c r="O40" s="132">
        <v>0</v>
      </c>
      <c r="P40" s="127">
        <f t="shared" si="0"/>
        <v>1</v>
      </c>
    </row>
    <row r="41" spans="1:16" ht="15.75" customHeight="1">
      <c r="A41" s="134"/>
      <c r="B41" s="130" t="s">
        <v>219</v>
      </c>
      <c r="C41" s="74" t="s">
        <v>220</v>
      </c>
      <c r="D41" s="131"/>
      <c r="E41" s="131">
        <v>23000</v>
      </c>
      <c r="F41" s="131">
        <v>500</v>
      </c>
      <c r="G41" s="131">
        <v>0</v>
      </c>
      <c r="H41" s="131">
        <v>11000</v>
      </c>
      <c r="I41" s="131">
        <v>0</v>
      </c>
      <c r="J41" s="131">
        <v>165</v>
      </c>
      <c r="K41" s="131">
        <v>866</v>
      </c>
      <c r="L41" s="131">
        <v>866</v>
      </c>
      <c r="M41" s="131">
        <v>0</v>
      </c>
      <c r="N41" s="132">
        <f t="shared" si="8"/>
        <v>866</v>
      </c>
      <c r="O41" s="132">
        <v>0</v>
      </c>
      <c r="P41" s="127">
        <f t="shared" si="0"/>
        <v>1</v>
      </c>
    </row>
    <row r="42" spans="1:16" ht="15.75" customHeight="1">
      <c r="A42" s="134"/>
      <c r="B42" s="130" t="s">
        <v>221</v>
      </c>
      <c r="C42" s="74" t="s">
        <v>222</v>
      </c>
      <c r="D42" s="131"/>
      <c r="E42" s="131">
        <v>14893</v>
      </c>
      <c r="F42" s="131">
        <v>0</v>
      </c>
      <c r="G42" s="131">
        <v>0</v>
      </c>
      <c r="H42" s="131">
        <v>13388</v>
      </c>
      <c r="I42" s="131">
        <v>0</v>
      </c>
      <c r="J42" s="131">
        <v>115</v>
      </c>
      <c r="K42" s="131">
        <v>10390</v>
      </c>
      <c r="L42" s="131">
        <v>10390</v>
      </c>
      <c r="M42" s="131">
        <v>0</v>
      </c>
      <c r="N42" s="132">
        <f t="shared" si="8"/>
        <v>10390</v>
      </c>
      <c r="O42" s="132">
        <v>0</v>
      </c>
      <c r="P42" s="127">
        <f t="shared" si="0"/>
        <v>1</v>
      </c>
    </row>
    <row r="43" spans="1:16" ht="14.25" customHeight="1">
      <c r="A43" s="134"/>
      <c r="B43" s="130" t="s">
        <v>256</v>
      </c>
      <c r="C43" s="74" t="s">
        <v>257</v>
      </c>
      <c r="D43" s="131"/>
      <c r="E43" s="131">
        <v>8147</v>
      </c>
      <c r="F43" s="131">
        <v>0</v>
      </c>
      <c r="G43" s="131">
        <v>0</v>
      </c>
      <c r="H43" s="131">
        <v>7500</v>
      </c>
      <c r="I43" s="131">
        <v>0</v>
      </c>
      <c r="J43" s="131">
        <v>35</v>
      </c>
      <c r="K43" s="131">
        <v>9158</v>
      </c>
      <c r="L43" s="131">
        <v>9158</v>
      </c>
      <c r="M43" s="131">
        <v>0</v>
      </c>
      <c r="N43" s="132">
        <f t="shared" si="8"/>
        <v>9158</v>
      </c>
      <c r="O43" s="132">
        <v>0</v>
      </c>
      <c r="P43" s="127">
        <f aca="true" t="shared" si="9" ref="P43:P72">L43/K43</f>
        <v>1</v>
      </c>
    </row>
    <row r="44" spans="1:16" ht="16.5" customHeight="1">
      <c r="A44" s="134"/>
      <c r="B44" s="130" t="s">
        <v>258</v>
      </c>
      <c r="C44" s="74" t="s">
        <v>259</v>
      </c>
      <c r="D44" s="131">
        <v>520000</v>
      </c>
      <c r="E44" s="131">
        <v>0</v>
      </c>
      <c r="F44" s="131"/>
      <c r="G44" s="131"/>
      <c r="H44" s="131">
        <v>2700</v>
      </c>
      <c r="I44" s="131">
        <v>0</v>
      </c>
      <c r="J44" s="131">
        <v>0</v>
      </c>
      <c r="K44" s="131">
        <v>3706985</v>
      </c>
      <c r="L44" s="131">
        <v>3706985</v>
      </c>
      <c r="M44" s="131">
        <v>0</v>
      </c>
      <c r="N44" s="132">
        <f t="shared" si="8"/>
        <v>3706985</v>
      </c>
      <c r="O44" s="132">
        <v>0</v>
      </c>
      <c r="P44" s="127">
        <f t="shared" si="9"/>
        <v>1</v>
      </c>
    </row>
    <row r="45" spans="1:16" ht="15.75" customHeight="1">
      <c r="A45" s="134"/>
      <c r="B45" s="130" t="s">
        <v>664</v>
      </c>
      <c r="C45" s="74" t="s">
        <v>259</v>
      </c>
      <c r="D45" s="131"/>
      <c r="E45" s="131">
        <v>132020</v>
      </c>
      <c r="F45" s="131">
        <v>700000</v>
      </c>
      <c r="G45" s="131">
        <v>0</v>
      </c>
      <c r="H45" s="131">
        <v>2525919</v>
      </c>
      <c r="I45" s="131">
        <v>0</v>
      </c>
      <c r="J45" s="131">
        <v>0</v>
      </c>
      <c r="K45" s="131">
        <v>1887532</v>
      </c>
      <c r="L45" s="131">
        <v>1887123</v>
      </c>
      <c r="M45" s="131">
        <v>0</v>
      </c>
      <c r="N45" s="132">
        <f t="shared" si="8"/>
        <v>1887123</v>
      </c>
      <c r="O45" s="132">
        <v>0</v>
      </c>
      <c r="P45" s="127">
        <f t="shared" si="9"/>
        <v>0.9997833149318793</v>
      </c>
    </row>
    <row r="46" spans="1:16" ht="16.5" customHeight="1">
      <c r="A46" s="134"/>
      <c r="B46" s="130" t="s">
        <v>306</v>
      </c>
      <c r="C46" s="74" t="s">
        <v>259</v>
      </c>
      <c r="D46" s="131"/>
      <c r="E46" s="131"/>
      <c r="F46" s="131"/>
      <c r="G46" s="131"/>
      <c r="H46" s="131"/>
      <c r="I46" s="131"/>
      <c r="J46" s="131"/>
      <c r="K46" s="131">
        <v>673548</v>
      </c>
      <c r="L46" s="131">
        <v>673608</v>
      </c>
      <c r="M46" s="131">
        <v>0</v>
      </c>
      <c r="N46" s="132">
        <f t="shared" si="8"/>
        <v>673608</v>
      </c>
      <c r="O46" s="132">
        <v>0</v>
      </c>
      <c r="P46" s="127">
        <f t="shared" si="9"/>
        <v>1.000089080510966</v>
      </c>
    </row>
    <row r="47" spans="1:16" ht="13.5" customHeight="1">
      <c r="A47" s="134"/>
      <c r="B47" s="130" t="s">
        <v>260</v>
      </c>
      <c r="C47" s="74" t="s">
        <v>262</v>
      </c>
      <c r="D47" s="131"/>
      <c r="E47" s="131"/>
      <c r="F47" s="131"/>
      <c r="G47" s="131"/>
      <c r="H47" s="131">
        <v>30892</v>
      </c>
      <c r="I47" s="131">
        <v>0</v>
      </c>
      <c r="J47" s="131">
        <v>0</v>
      </c>
      <c r="K47" s="131">
        <v>97800</v>
      </c>
      <c r="L47" s="131">
        <v>97800</v>
      </c>
      <c r="M47" s="131">
        <v>0</v>
      </c>
      <c r="N47" s="132">
        <f t="shared" si="8"/>
        <v>97800</v>
      </c>
      <c r="O47" s="132">
        <v>0</v>
      </c>
      <c r="P47" s="127">
        <f t="shared" si="9"/>
        <v>1</v>
      </c>
    </row>
    <row r="48" spans="1:16" ht="13.5" customHeight="1">
      <c r="A48" s="134"/>
      <c r="B48" s="130" t="s">
        <v>261</v>
      </c>
      <c r="C48" s="74" t="s">
        <v>263</v>
      </c>
      <c r="D48" s="131"/>
      <c r="E48" s="131"/>
      <c r="F48" s="131"/>
      <c r="G48" s="131"/>
      <c r="H48" s="131"/>
      <c r="I48" s="131"/>
      <c r="J48" s="131"/>
      <c r="K48" s="131">
        <v>8880</v>
      </c>
      <c r="L48" s="131">
        <v>8880</v>
      </c>
      <c r="M48" s="131">
        <v>0</v>
      </c>
      <c r="N48" s="132">
        <v>0</v>
      </c>
      <c r="O48" s="132">
        <f>L48</f>
        <v>8880</v>
      </c>
      <c r="P48" s="127">
        <f t="shared" si="9"/>
        <v>1</v>
      </c>
    </row>
    <row r="49" spans="1:16" ht="15.75" customHeight="1">
      <c r="A49" s="134"/>
      <c r="B49" s="130" t="s">
        <v>230</v>
      </c>
      <c r="C49" s="74" t="s">
        <v>263</v>
      </c>
      <c r="D49" s="131"/>
      <c r="E49" s="131"/>
      <c r="F49" s="131"/>
      <c r="G49" s="131"/>
      <c r="H49" s="131">
        <v>40000</v>
      </c>
      <c r="I49" s="131">
        <v>0</v>
      </c>
      <c r="J49" s="131">
        <v>0</v>
      </c>
      <c r="K49" s="131">
        <v>50000</v>
      </c>
      <c r="L49" s="131">
        <v>50000</v>
      </c>
      <c r="M49" s="131">
        <v>0</v>
      </c>
      <c r="N49" s="132">
        <v>0</v>
      </c>
      <c r="O49" s="132">
        <f>L49</f>
        <v>50000</v>
      </c>
      <c r="P49" s="127">
        <f t="shared" si="9"/>
        <v>1</v>
      </c>
    </row>
    <row r="50" spans="1:16" ht="26.25" customHeight="1">
      <c r="A50" s="431" t="s">
        <v>64</v>
      </c>
      <c r="B50" s="435"/>
      <c r="C50" s="436" t="s">
        <v>264</v>
      </c>
      <c r="D50" s="433">
        <f aca="true" t="shared" si="10" ref="D50:O50">D51</f>
        <v>15000</v>
      </c>
      <c r="E50" s="433">
        <f t="shared" si="10"/>
        <v>37000</v>
      </c>
      <c r="F50" s="433">
        <f t="shared" si="10"/>
        <v>3693</v>
      </c>
      <c r="G50" s="433">
        <f t="shared" si="10"/>
        <v>3693</v>
      </c>
      <c r="H50" s="433" t="e">
        <f t="shared" si="10"/>
        <v>#REF!</v>
      </c>
      <c r="I50" s="433" t="e">
        <f t="shared" si="10"/>
        <v>#REF!</v>
      </c>
      <c r="J50" s="433" t="e">
        <f t="shared" si="10"/>
        <v>#REF!</v>
      </c>
      <c r="K50" s="433">
        <f t="shared" si="10"/>
        <v>139930</v>
      </c>
      <c r="L50" s="433">
        <f t="shared" si="10"/>
        <v>139930</v>
      </c>
      <c r="M50" s="433">
        <f t="shared" si="10"/>
        <v>55000</v>
      </c>
      <c r="N50" s="433">
        <f t="shared" si="10"/>
        <v>84930</v>
      </c>
      <c r="O50" s="434">
        <f t="shared" si="10"/>
        <v>0</v>
      </c>
      <c r="P50" s="430">
        <f t="shared" si="9"/>
        <v>1</v>
      </c>
    </row>
    <row r="51" spans="1:16" ht="24.75" customHeight="1">
      <c r="A51" s="449" t="s">
        <v>66</v>
      </c>
      <c r="B51" s="459"/>
      <c r="C51" s="450" t="s">
        <v>265</v>
      </c>
      <c r="D51" s="451">
        <f>D55</f>
        <v>15000</v>
      </c>
      <c r="E51" s="451">
        <f>E55+E54</f>
        <v>37000</v>
      </c>
      <c r="F51" s="451">
        <f>F55+F54</f>
        <v>3693</v>
      </c>
      <c r="G51" s="451">
        <f>G55+G54</f>
        <v>3693</v>
      </c>
      <c r="H51" s="451" t="e">
        <f>H54+H55+H56+H58+#REF!+H53+H57</f>
        <v>#REF!</v>
      </c>
      <c r="I51" s="451" t="e">
        <f>I54+I55+I56+I58+#REF!+I53+I57</f>
        <v>#REF!</v>
      </c>
      <c r="J51" s="451" t="e">
        <f>J54+J55+J56+J58+#REF!+J53+J57</f>
        <v>#REF!</v>
      </c>
      <c r="K51" s="451">
        <f>K52+K53+K54+K55+K56+K57+K58</f>
        <v>139930</v>
      </c>
      <c r="L51" s="451">
        <f>L52+L53+L54+L55+L56+L57+L58</f>
        <v>139930</v>
      </c>
      <c r="M51" s="451">
        <f>M52+M53+M54+M55+M56+M57+M58</f>
        <v>55000</v>
      </c>
      <c r="N51" s="451">
        <f>N52+N53+N54+N55+N56+N57+N58</f>
        <v>84930</v>
      </c>
      <c r="O51" s="451">
        <f>O52+O53+O54+O55+O56+O57+O58</f>
        <v>0</v>
      </c>
      <c r="P51" s="452">
        <f t="shared" si="9"/>
        <v>1</v>
      </c>
    </row>
    <row r="52" spans="1:16" ht="20.25" customHeight="1">
      <c r="A52" s="129"/>
      <c r="B52" s="130" t="s">
        <v>665</v>
      </c>
      <c r="C52" s="74" t="s">
        <v>666</v>
      </c>
      <c r="D52" s="138"/>
      <c r="E52" s="138"/>
      <c r="F52" s="138"/>
      <c r="G52" s="138"/>
      <c r="H52" s="138"/>
      <c r="I52" s="138"/>
      <c r="J52" s="138"/>
      <c r="K52" s="131">
        <v>800</v>
      </c>
      <c r="L52" s="131">
        <v>800</v>
      </c>
      <c r="M52" s="131">
        <v>800</v>
      </c>
      <c r="N52" s="131">
        <v>0</v>
      </c>
      <c r="O52" s="131">
        <v>0</v>
      </c>
      <c r="P52" s="127">
        <f t="shared" si="9"/>
        <v>1</v>
      </c>
    </row>
    <row r="53" spans="1:16" ht="16.5" customHeight="1">
      <c r="A53" s="129"/>
      <c r="B53" s="130" t="s">
        <v>250</v>
      </c>
      <c r="C53" s="74" t="s">
        <v>266</v>
      </c>
      <c r="D53" s="131"/>
      <c r="E53" s="131"/>
      <c r="F53" s="131"/>
      <c r="G53" s="131"/>
      <c r="H53" s="131">
        <v>3005</v>
      </c>
      <c r="I53" s="131">
        <v>0</v>
      </c>
      <c r="J53" s="131">
        <v>0</v>
      </c>
      <c r="K53" s="131">
        <v>2993</v>
      </c>
      <c r="L53" s="131">
        <v>2993</v>
      </c>
      <c r="M53" s="131">
        <v>2993</v>
      </c>
      <c r="N53" s="132">
        <f aca="true" t="shared" si="11" ref="N53:N58">L53-M53</f>
        <v>0</v>
      </c>
      <c r="O53" s="131">
        <v>0</v>
      </c>
      <c r="P53" s="127">
        <f t="shared" si="9"/>
        <v>1</v>
      </c>
    </row>
    <row r="54" spans="1:16" ht="16.5" customHeight="1">
      <c r="A54" s="129"/>
      <c r="B54" s="130" t="s">
        <v>228</v>
      </c>
      <c r="C54" s="74" t="s">
        <v>229</v>
      </c>
      <c r="D54" s="131"/>
      <c r="E54" s="131">
        <v>20000</v>
      </c>
      <c r="F54" s="131">
        <v>3693</v>
      </c>
      <c r="G54" s="131">
        <v>0</v>
      </c>
      <c r="H54" s="131">
        <v>10601</v>
      </c>
      <c r="I54" s="131">
        <v>0</v>
      </c>
      <c r="J54" s="131">
        <v>305</v>
      </c>
      <c r="K54" s="131">
        <v>63094</v>
      </c>
      <c r="L54" s="131">
        <v>63094</v>
      </c>
      <c r="M54" s="131">
        <v>38508</v>
      </c>
      <c r="N54" s="132">
        <f t="shared" si="11"/>
        <v>24586</v>
      </c>
      <c r="O54" s="132">
        <v>0</v>
      </c>
      <c r="P54" s="127">
        <f t="shared" si="9"/>
        <v>1</v>
      </c>
    </row>
    <row r="55" spans="1:16" ht="17.25" customHeight="1">
      <c r="A55" s="140"/>
      <c r="B55" s="130" t="s">
        <v>219</v>
      </c>
      <c r="C55" s="74" t="s">
        <v>220</v>
      </c>
      <c r="D55" s="131">
        <v>15000</v>
      </c>
      <c r="E55" s="131">
        <v>17000</v>
      </c>
      <c r="F55" s="131">
        <v>0</v>
      </c>
      <c r="G55" s="131">
        <v>3693</v>
      </c>
      <c r="H55" s="131">
        <v>65521</v>
      </c>
      <c r="I55" s="131">
        <v>422</v>
      </c>
      <c r="J55" s="131">
        <v>0</v>
      </c>
      <c r="K55" s="131">
        <v>58108</v>
      </c>
      <c r="L55" s="131">
        <v>58108</v>
      </c>
      <c r="M55" s="131">
        <v>0</v>
      </c>
      <c r="N55" s="132">
        <f t="shared" si="11"/>
        <v>58108</v>
      </c>
      <c r="O55" s="132">
        <v>0</v>
      </c>
      <c r="P55" s="127">
        <f t="shared" si="9"/>
        <v>1</v>
      </c>
    </row>
    <row r="56" spans="1:16" ht="17.25" customHeight="1">
      <c r="A56" s="140"/>
      <c r="B56" s="130" t="s">
        <v>256</v>
      </c>
      <c r="C56" s="74" t="s">
        <v>257</v>
      </c>
      <c r="D56" s="131"/>
      <c r="E56" s="131"/>
      <c r="F56" s="131"/>
      <c r="G56" s="131"/>
      <c r="H56" s="131">
        <v>1357</v>
      </c>
      <c r="I56" s="131">
        <v>0</v>
      </c>
      <c r="J56" s="131">
        <v>117</v>
      </c>
      <c r="K56" s="131">
        <v>8622</v>
      </c>
      <c r="L56" s="131">
        <v>8622</v>
      </c>
      <c r="M56" s="131">
        <v>8119</v>
      </c>
      <c r="N56" s="132">
        <f t="shared" si="11"/>
        <v>503</v>
      </c>
      <c r="O56" s="132">
        <v>0</v>
      </c>
      <c r="P56" s="127">
        <f t="shared" si="9"/>
        <v>1</v>
      </c>
    </row>
    <row r="57" spans="1:16" ht="17.25" customHeight="1">
      <c r="A57" s="140"/>
      <c r="B57" s="130" t="s">
        <v>267</v>
      </c>
      <c r="C57" s="74" t="s">
        <v>268</v>
      </c>
      <c r="D57" s="131"/>
      <c r="E57" s="131"/>
      <c r="F57" s="131"/>
      <c r="G57" s="131"/>
      <c r="H57" s="131">
        <v>55</v>
      </c>
      <c r="I57" s="131">
        <v>0</v>
      </c>
      <c r="J57" s="131">
        <v>0</v>
      </c>
      <c r="K57" s="131">
        <v>4580</v>
      </c>
      <c r="L57" s="131">
        <v>4580</v>
      </c>
      <c r="M57" s="131">
        <v>4580</v>
      </c>
      <c r="N57" s="132">
        <f t="shared" si="11"/>
        <v>0</v>
      </c>
      <c r="O57" s="132">
        <v>0</v>
      </c>
      <c r="P57" s="127">
        <f t="shared" si="9"/>
        <v>1</v>
      </c>
    </row>
    <row r="58" spans="1:16" ht="17.25" customHeight="1">
      <c r="A58" s="140"/>
      <c r="B58" s="130" t="s">
        <v>269</v>
      </c>
      <c r="C58" s="74" t="s">
        <v>270</v>
      </c>
      <c r="D58" s="131"/>
      <c r="E58" s="131"/>
      <c r="F58" s="131"/>
      <c r="G58" s="131"/>
      <c r="H58" s="131">
        <v>213</v>
      </c>
      <c r="I58" s="131">
        <v>0</v>
      </c>
      <c r="J58" s="131">
        <v>0</v>
      </c>
      <c r="K58" s="131">
        <v>1733</v>
      </c>
      <c r="L58" s="131">
        <v>1733</v>
      </c>
      <c r="M58" s="131">
        <v>0</v>
      </c>
      <c r="N58" s="132">
        <f t="shared" si="11"/>
        <v>1733</v>
      </c>
      <c r="O58" s="132">
        <v>0</v>
      </c>
      <c r="P58" s="127">
        <f t="shared" si="9"/>
        <v>1</v>
      </c>
    </row>
    <row r="59" spans="1:16" ht="15" customHeight="1">
      <c r="A59" s="431" t="s">
        <v>272</v>
      </c>
      <c r="B59" s="435"/>
      <c r="C59" s="436" t="s">
        <v>273</v>
      </c>
      <c r="D59" s="433">
        <f aca="true" t="shared" si="12" ref="D59:O59">D60+D62+D64</f>
        <v>170602</v>
      </c>
      <c r="E59" s="433">
        <f t="shared" si="12"/>
        <v>139020</v>
      </c>
      <c r="F59" s="433">
        <f t="shared" si="12"/>
        <v>0</v>
      </c>
      <c r="G59" s="433">
        <f t="shared" si="12"/>
        <v>0</v>
      </c>
      <c r="H59" s="433">
        <f t="shared" si="12"/>
        <v>170453</v>
      </c>
      <c r="I59" s="433">
        <f t="shared" si="12"/>
        <v>1053</v>
      </c>
      <c r="J59" s="433">
        <f t="shared" si="12"/>
        <v>1053</v>
      </c>
      <c r="K59" s="433">
        <f t="shared" si="12"/>
        <v>207452</v>
      </c>
      <c r="L59" s="433">
        <f t="shared" si="12"/>
        <v>207452</v>
      </c>
      <c r="M59" s="433">
        <f t="shared" si="12"/>
        <v>207452</v>
      </c>
      <c r="N59" s="434">
        <f t="shared" si="12"/>
        <v>0</v>
      </c>
      <c r="O59" s="434">
        <f t="shared" si="12"/>
        <v>0</v>
      </c>
      <c r="P59" s="430">
        <f t="shared" si="9"/>
        <v>1</v>
      </c>
    </row>
    <row r="60" spans="1:16" ht="22.5" customHeight="1">
      <c r="A60" s="449" t="s">
        <v>274</v>
      </c>
      <c r="B60" s="460"/>
      <c r="C60" s="450" t="s">
        <v>73</v>
      </c>
      <c r="D60" s="451">
        <f aca="true" t="shared" si="13" ref="D60:O60">D61</f>
        <v>79900</v>
      </c>
      <c r="E60" s="451">
        <f t="shared" si="13"/>
        <v>52100</v>
      </c>
      <c r="F60" s="451">
        <f t="shared" si="13"/>
        <v>0</v>
      </c>
      <c r="G60" s="451">
        <f t="shared" si="13"/>
        <v>0</v>
      </c>
      <c r="H60" s="451">
        <f t="shared" si="13"/>
        <v>72000</v>
      </c>
      <c r="I60" s="451">
        <f t="shared" si="13"/>
        <v>0</v>
      </c>
      <c r="J60" s="451">
        <f t="shared" si="13"/>
        <v>0</v>
      </c>
      <c r="K60" s="451">
        <f t="shared" si="13"/>
        <v>42000</v>
      </c>
      <c r="L60" s="451">
        <f t="shared" si="13"/>
        <v>42000</v>
      </c>
      <c r="M60" s="451">
        <f t="shared" si="13"/>
        <v>42000</v>
      </c>
      <c r="N60" s="454">
        <f t="shared" si="13"/>
        <v>0</v>
      </c>
      <c r="O60" s="454">
        <f t="shared" si="13"/>
        <v>0</v>
      </c>
      <c r="P60" s="452">
        <f t="shared" si="9"/>
        <v>1</v>
      </c>
    </row>
    <row r="61" spans="1:16" ht="15" customHeight="1">
      <c r="A61" s="140"/>
      <c r="B61" s="130" t="s">
        <v>228</v>
      </c>
      <c r="C61" s="74" t="s">
        <v>229</v>
      </c>
      <c r="D61" s="131">
        <v>79900</v>
      </c>
      <c r="E61" s="131">
        <v>52100</v>
      </c>
      <c r="F61" s="131">
        <v>0</v>
      </c>
      <c r="G61" s="131">
        <v>0</v>
      </c>
      <c r="H61" s="131">
        <v>72000</v>
      </c>
      <c r="I61" s="131">
        <v>0</v>
      </c>
      <c r="J61" s="131">
        <v>0</v>
      </c>
      <c r="K61" s="131">
        <v>42000</v>
      </c>
      <c r="L61" s="131">
        <v>42000</v>
      </c>
      <c r="M61" s="131">
        <f>L61</f>
        <v>42000</v>
      </c>
      <c r="N61" s="132">
        <v>0</v>
      </c>
      <c r="O61" s="132">
        <v>0</v>
      </c>
      <c r="P61" s="127">
        <f t="shared" si="9"/>
        <v>1</v>
      </c>
    </row>
    <row r="62" spans="1:16" ht="22.5" customHeight="1">
      <c r="A62" s="449" t="s">
        <v>275</v>
      </c>
      <c r="B62" s="460"/>
      <c r="C62" s="450" t="s">
        <v>74</v>
      </c>
      <c r="D62" s="451">
        <f aca="true" t="shared" si="14" ref="D62:O62">D63</f>
        <v>20000</v>
      </c>
      <c r="E62" s="451">
        <f t="shared" si="14"/>
        <v>8000</v>
      </c>
      <c r="F62" s="451">
        <f t="shared" si="14"/>
        <v>0</v>
      </c>
      <c r="G62" s="451">
        <f t="shared" si="14"/>
        <v>0</v>
      </c>
      <c r="H62" s="451">
        <f t="shared" si="14"/>
        <v>4000</v>
      </c>
      <c r="I62" s="451">
        <f t="shared" si="14"/>
        <v>0</v>
      </c>
      <c r="J62" s="451">
        <f t="shared" si="14"/>
        <v>0</v>
      </c>
      <c r="K62" s="451">
        <f t="shared" si="14"/>
        <v>10000</v>
      </c>
      <c r="L62" s="451">
        <f t="shared" si="14"/>
        <v>10000</v>
      </c>
      <c r="M62" s="451">
        <f t="shared" si="14"/>
        <v>10000</v>
      </c>
      <c r="N62" s="454">
        <f t="shared" si="14"/>
        <v>0</v>
      </c>
      <c r="O62" s="454">
        <f t="shared" si="14"/>
        <v>0</v>
      </c>
      <c r="P62" s="452">
        <f t="shared" si="9"/>
        <v>1</v>
      </c>
    </row>
    <row r="63" spans="1:16" ht="15" customHeight="1">
      <c r="A63" s="140"/>
      <c r="B63" s="130" t="s">
        <v>228</v>
      </c>
      <c r="C63" s="74" t="s">
        <v>229</v>
      </c>
      <c r="D63" s="131">
        <v>20000</v>
      </c>
      <c r="E63" s="131">
        <v>8000</v>
      </c>
      <c r="F63" s="131">
        <v>0</v>
      </c>
      <c r="G63" s="131">
        <v>0</v>
      </c>
      <c r="H63" s="131">
        <v>4000</v>
      </c>
      <c r="I63" s="131">
        <v>0</v>
      </c>
      <c r="J63" s="131">
        <v>0</v>
      </c>
      <c r="K63" s="131">
        <v>10000</v>
      </c>
      <c r="L63" s="131">
        <v>10000</v>
      </c>
      <c r="M63" s="131">
        <f>L63</f>
        <v>10000</v>
      </c>
      <c r="N63" s="132">
        <v>0</v>
      </c>
      <c r="O63" s="132">
        <v>0</v>
      </c>
      <c r="P63" s="127">
        <f t="shared" si="9"/>
        <v>1</v>
      </c>
    </row>
    <row r="64" spans="1:16" ht="15.75" customHeight="1">
      <c r="A64" s="449" t="s">
        <v>276</v>
      </c>
      <c r="B64" s="460"/>
      <c r="C64" s="450" t="s">
        <v>76</v>
      </c>
      <c r="D64" s="451">
        <f>D65+D67+D68+D70</f>
        <v>70702</v>
      </c>
      <c r="E64" s="451">
        <f>E65+E67+E68+E69+E70+E71+E72+E73+E75</f>
        <v>78920</v>
      </c>
      <c r="F64" s="451">
        <f>F65+F67+F68+F69+F70+F71+F72+F73+F75</f>
        <v>0</v>
      </c>
      <c r="G64" s="451">
        <f>G65+G67+G68+G69+G70+G71+G72+G73+G75</f>
        <v>0</v>
      </c>
      <c r="H64" s="451">
        <f>H65+H67+H68+H69+H70+H71+H72+H73+H75+H66+H76</f>
        <v>94453</v>
      </c>
      <c r="I64" s="451">
        <f>I65+I67+I68+I69+I70+I71+I72+I73+I75+I66+I76</f>
        <v>1053</v>
      </c>
      <c r="J64" s="451">
        <f>J65+J67+J68+J69+J70+J71+J72+J73+J75+J66+J76</f>
        <v>1053</v>
      </c>
      <c r="K64" s="451">
        <f>K65+K66+K67+K68+K69+K71+K72+K73+K74+K75+K76</f>
        <v>155452</v>
      </c>
      <c r="L64" s="451">
        <f>L65+L66+L67+L68+L69+L71+L72+L73+L74+L75+L76</f>
        <v>155452</v>
      </c>
      <c r="M64" s="451">
        <f>M65+M66+M67+M68+M69+M71+M72+M73+M74+M75+M76</f>
        <v>155452</v>
      </c>
      <c r="N64" s="451">
        <f>N65+N66+N67+N68+N69+N71+N72+N73+N74+N75+N76</f>
        <v>0</v>
      </c>
      <c r="O64" s="451">
        <f>O65+O66+O67+O68+O69+O71+O72+O73+O74+O75+O76</f>
        <v>0</v>
      </c>
      <c r="P64" s="452">
        <f t="shared" si="9"/>
        <v>1</v>
      </c>
    </row>
    <row r="65" spans="1:16" ht="13.5" customHeight="1">
      <c r="A65" s="140"/>
      <c r="B65" s="130" t="s">
        <v>238</v>
      </c>
      <c r="C65" s="74" t="s">
        <v>277</v>
      </c>
      <c r="D65" s="131">
        <v>49324</v>
      </c>
      <c r="E65" s="131">
        <v>53163</v>
      </c>
      <c r="F65" s="131">
        <v>0</v>
      </c>
      <c r="G65" s="131">
        <v>0</v>
      </c>
      <c r="H65" s="131">
        <v>35760</v>
      </c>
      <c r="I65" s="131">
        <v>0</v>
      </c>
      <c r="J65" s="131">
        <v>0</v>
      </c>
      <c r="K65" s="131">
        <v>45960</v>
      </c>
      <c r="L65" s="131">
        <v>45960</v>
      </c>
      <c r="M65" s="131">
        <f aca="true" t="shared" si="15" ref="M65:M76">L65</f>
        <v>45960</v>
      </c>
      <c r="N65" s="132">
        <v>0</v>
      </c>
      <c r="O65" s="132">
        <v>0</v>
      </c>
      <c r="P65" s="127">
        <f t="shared" si="9"/>
        <v>1</v>
      </c>
    </row>
    <row r="66" spans="1:16" ht="14.25" customHeight="1">
      <c r="A66" s="140"/>
      <c r="B66" s="130" t="s">
        <v>278</v>
      </c>
      <c r="C66" s="74" t="s">
        <v>279</v>
      </c>
      <c r="D66" s="131"/>
      <c r="E66" s="131"/>
      <c r="F66" s="131"/>
      <c r="G66" s="131"/>
      <c r="H66" s="131">
        <v>24700</v>
      </c>
      <c r="I66" s="131">
        <v>0</v>
      </c>
      <c r="J66" s="131">
        <v>0</v>
      </c>
      <c r="K66" s="131">
        <v>60920</v>
      </c>
      <c r="L66" s="131">
        <v>60920</v>
      </c>
      <c r="M66" s="131">
        <f t="shared" si="15"/>
        <v>60920</v>
      </c>
      <c r="N66" s="132">
        <v>0</v>
      </c>
      <c r="O66" s="132">
        <v>0</v>
      </c>
      <c r="P66" s="127">
        <f t="shared" si="9"/>
        <v>1</v>
      </c>
    </row>
    <row r="67" spans="1:16" ht="14.25" customHeight="1">
      <c r="A67" s="140"/>
      <c r="B67" s="130" t="s">
        <v>240</v>
      </c>
      <c r="C67" s="74" t="s">
        <v>241</v>
      </c>
      <c r="D67" s="131">
        <v>2600</v>
      </c>
      <c r="E67" s="131">
        <v>4103</v>
      </c>
      <c r="F67" s="131">
        <v>0</v>
      </c>
      <c r="G67" s="131">
        <v>0</v>
      </c>
      <c r="H67" s="131">
        <v>4508</v>
      </c>
      <c r="I67" s="131">
        <v>0</v>
      </c>
      <c r="J67" s="131">
        <v>0</v>
      </c>
      <c r="K67" s="131">
        <v>8422</v>
      </c>
      <c r="L67" s="131">
        <v>8422</v>
      </c>
      <c r="M67" s="131">
        <f t="shared" si="15"/>
        <v>8422</v>
      </c>
      <c r="N67" s="132">
        <v>0</v>
      </c>
      <c r="O67" s="132">
        <v>0</v>
      </c>
      <c r="P67" s="127">
        <f t="shared" si="9"/>
        <v>1</v>
      </c>
    </row>
    <row r="68" spans="1:16" ht="15" customHeight="1">
      <c r="A68" s="140"/>
      <c r="B68" s="135" t="s">
        <v>280</v>
      </c>
      <c r="C68" s="74" t="s">
        <v>243</v>
      </c>
      <c r="D68" s="131">
        <v>10556</v>
      </c>
      <c r="E68" s="131">
        <v>10240</v>
      </c>
      <c r="F68" s="131">
        <v>0</v>
      </c>
      <c r="G68" s="131">
        <v>0</v>
      </c>
      <c r="H68" s="131">
        <v>11818</v>
      </c>
      <c r="I68" s="131">
        <v>0</v>
      </c>
      <c r="J68" s="131">
        <v>0</v>
      </c>
      <c r="K68" s="131">
        <v>20500</v>
      </c>
      <c r="L68" s="131">
        <v>20500</v>
      </c>
      <c r="M68" s="131">
        <f t="shared" si="15"/>
        <v>20500</v>
      </c>
      <c r="N68" s="132">
        <v>0</v>
      </c>
      <c r="O68" s="132">
        <v>0</v>
      </c>
      <c r="P68" s="127">
        <f t="shared" si="9"/>
        <v>1</v>
      </c>
    </row>
    <row r="69" spans="1:16" ht="14.25" customHeight="1">
      <c r="A69" s="140"/>
      <c r="B69" s="135" t="s">
        <v>244</v>
      </c>
      <c r="C69" s="74" t="s">
        <v>245</v>
      </c>
      <c r="D69" s="131"/>
      <c r="E69" s="131">
        <v>1403</v>
      </c>
      <c r="F69" s="131">
        <v>0</v>
      </c>
      <c r="G69" s="131">
        <v>0</v>
      </c>
      <c r="H69" s="131">
        <v>1592</v>
      </c>
      <c r="I69" s="131">
        <v>10</v>
      </c>
      <c r="J69" s="131">
        <v>0</v>
      </c>
      <c r="K69" s="131">
        <v>2761</v>
      </c>
      <c r="L69" s="131">
        <v>2761</v>
      </c>
      <c r="M69" s="131">
        <f t="shared" si="15"/>
        <v>2761</v>
      </c>
      <c r="N69" s="132">
        <v>0</v>
      </c>
      <c r="O69" s="132">
        <v>0</v>
      </c>
      <c r="P69" s="127">
        <f t="shared" si="9"/>
        <v>1</v>
      </c>
    </row>
    <row r="70" spans="1:16" ht="18.75" customHeight="1" hidden="1">
      <c r="A70" s="140"/>
      <c r="B70" s="130"/>
      <c r="C70" s="74" t="s">
        <v>281</v>
      </c>
      <c r="D70" s="131">
        <v>8222</v>
      </c>
      <c r="E70" s="131">
        <v>0</v>
      </c>
      <c r="F70" s="131">
        <v>0</v>
      </c>
      <c r="G70" s="131">
        <v>0</v>
      </c>
      <c r="H70" s="131"/>
      <c r="I70" s="131"/>
      <c r="J70" s="131"/>
      <c r="K70" s="131">
        <f>H70+I70-J70</f>
        <v>0</v>
      </c>
      <c r="L70" s="131"/>
      <c r="M70" s="131">
        <f t="shared" si="15"/>
        <v>0</v>
      </c>
      <c r="N70" s="132"/>
      <c r="O70" s="132"/>
      <c r="P70" s="127" t="e">
        <f t="shared" si="9"/>
        <v>#DIV/0!</v>
      </c>
    </row>
    <row r="71" spans="1:16" ht="13.5" customHeight="1">
      <c r="A71" s="140"/>
      <c r="B71" s="130" t="s">
        <v>225</v>
      </c>
      <c r="C71" s="74" t="s">
        <v>249</v>
      </c>
      <c r="D71" s="131"/>
      <c r="E71" s="131">
        <v>2270</v>
      </c>
      <c r="F71" s="131">
        <v>0</v>
      </c>
      <c r="G71" s="131">
        <v>0</v>
      </c>
      <c r="H71" s="131">
        <v>2300</v>
      </c>
      <c r="I71" s="131">
        <v>1043</v>
      </c>
      <c r="J71" s="131">
        <v>0</v>
      </c>
      <c r="K71" s="131">
        <v>4371</v>
      </c>
      <c r="L71" s="131">
        <v>4371</v>
      </c>
      <c r="M71" s="131">
        <f t="shared" si="15"/>
        <v>4371</v>
      </c>
      <c r="N71" s="132">
        <v>0</v>
      </c>
      <c r="O71" s="132">
        <v>0</v>
      </c>
      <c r="P71" s="127">
        <f t="shared" si="9"/>
        <v>1</v>
      </c>
    </row>
    <row r="72" spans="1:16" ht="12.75" customHeight="1">
      <c r="A72" s="140"/>
      <c r="B72" s="130" t="s">
        <v>228</v>
      </c>
      <c r="C72" s="74" t="s">
        <v>229</v>
      </c>
      <c r="D72" s="131"/>
      <c r="E72" s="131">
        <v>4000</v>
      </c>
      <c r="F72" s="131">
        <v>0</v>
      </c>
      <c r="G72" s="131">
        <v>0</v>
      </c>
      <c r="H72" s="131">
        <v>5661</v>
      </c>
      <c r="I72" s="131">
        <v>0</v>
      </c>
      <c r="J72" s="131">
        <v>1011</v>
      </c>
      <c r="K72" s="131">
        <v>4550</v>
      </c>
      <c r="L72" s="131">
        <v>4550</v>
      </c>
      <c r="M72" s="131">
        <f t="shared" si="15"/>
        <v>4550</v>
      </c>
      <c r="N72" s="132">
        <v>0</v>
      </c>
      <c r="O72" s="132">
        <v>0</v>
      </c>
      <c r="P72" s="127">
        <f t="shared" si="9"/>
        <v>1</v>
      </c>
    </row>
    <row r="73" spans="1:16" ht="13.5" customHeight="1">
      <c r="A73" s="140"/>
      <c r="B73" s="130" t="s">
        <v>254</v>
      </c>
      <c r="C73" s="74" t="s">
        <v>255</v>
      </c>
      <c r="D73" s="131"/>
      <c r="E73" s="131">
        <v>2500</v>
      </c>
      <c r="F73" s="131">
        <v>0</v>
      </c>
      <c r="G73" s="131">
        <v>0</v>
      </c>
      <c r="H73" s="131">
        <v>2704</v>
      </c>
      <c r="I73" s="131">
        <v>0</v>
      </c>
      <c r="J73" s="131">
        <v>42</v>
      </c>
      <c r="K73" s="131">
        <v>0</v>
      </c>
      <c r="L73" s="131">
        <v>0</v>
      </c>
      <c r="M73" s="131">
        <f t="shared" si="15"/>
        <v>0</v>
      </c>
      <c r="N73" s="132">
        <v>0</v>
      </c>
      <c r="O73" s="132">
        <v>0</v>
      </c>
      <c r="P73" s="127">
        <v>0</v>
      </c>
    </row>
    <row r="74" spans="1:16" ht="13.5" customHeight="1">
      <c r="A74" s="140"/>
      <c r="B74" s="130" t="s">
        <v>219</v>
      </c>
      <c r="C74" s="74" t="s">
        <v>220</v>
      </c>
      <c r="D74" s="131"/>
      <c r="E74" s="131"/>
      <c r="F74" s="131"/>
      <c r="G74" s="131"/>
      <c r="H74" s="131"/>
      <c r="I74" s="131"/>
      <c r="J74" s="131"/>
      <c r="K74" s="131">
        <v>1535</v>
      </c>
      <c r="L74" s="131">
        <v>1535</v>
      </c>
      <c r="M74" s="131">
        <f t="shared" si="15"/>
        <v>1535</v>
      </c>
      <c r="N74" s="132">
        <v>0</v>
      </c>
      <c r="O74" s="132">
        <v>0</v>
      </c>
      <c r="P74" s="127">
        <f aca="true" t="shared" si="16" ref="P74:P105">L74/K74</f>
        <v>1</v>
      </c>
    </row>
    <row r="75" spans="1:16" ht="15" customHeight="1">
      <c r="A75" s="140"/>
      <c r="B75" s="130" t="s">
        <v>221</v>
      </c>
      <c r="C75" s="74" t="s">
        <v>222</v>
      </c>
      <c r="D75" s="131"/>
      <c r="E75" s="131">
        <v>1241</v>
      </c>
      <c r="F75" s="131">
        <v>0</v>
      </c>
      <c r="G75" s="131">
        <v>0</v>
      </c>
      <c r="H75" s="131">
        <v>1410</v>
      </c>
      <c r="I75" s="131">
        <v>0</v>
      </c>
      <c r="J75" s="131">
        <v>0</v>
      </c>
      <c r="K75" s="131">
        <v>2933</v>
      </c>
      <c r="L75" s="131">
        <v>2933</v>
      </c>
      <c r="M75" s="131">
        <f t="shared" si="15"/>
        <v>2933</v>
      </c>
      <c r="N75" s="132">
        <v>0</v>
      </c>
      <c r="O75" s="132">
        <v>0</v>
      </c>
      <c r="P75" s="127">
        <f t="shared" si="16"/>
        <v>1</v>
      </c>
    </row>
    <row r="76" spans="1:16" ht="13.5" customHeight="1">
      <c r="A76" s="140"/>
      <c r="B76" s="130" t="s">
        <v>260</v>
      </c>
      <c r="C76" s="74" t="s">
        <v>282</v>
      </c>
      <c r="D76" s="131"/>
      <c r="E76" s="131"/>
      <c r="F76" s="131"/>
      <c r="G76" s="131"/>
      <c r="H76" s="131">
        <v>4000</v>
      </c>
      <c r="I76" s="131">
        <v>0</v>
      </c>
      <c r="J76" s="131">
        <v>0</v>
      </c>
      <c r="K76" s="131">
        <v>3500</v>
      </c>
      <c r="L76" s="131">
        <v>3500</v>
      </c>
      <c r="M76" s="131">
        <f t="shared" si="15"/>
        <v>3500</v>
      </c>
      <c r="N76" s="132">
        <v>0</v>
      </c>
      <c r="O76" s="132">
        <v>0</v>
      </c>
      <c r="P76" s="127">
        <f t="shared" si="16"/>
        <v>1</v>
      </c>
    </row>
    <row r="77" spans="1:16" ht="14.25" customHeight="1">
      <c r="A77" s="431" t="s">
        <v>283</v>
      </c>
      <c r="B77" s="435"/>
      <c r="C77" s="436" t="s">
        <v>284</v>
      </c>
      <c r="D77" s="433" t="e">
        <f>D78+D94+D102+D125+D133</f>
        <v>#REF!</v>
      </c>
      <c r="E77" s="433" t="e">
        <f>E78+E94+E102+E125+E133</f>
        <v>#REF!</v>
      </c>
      <c r="F77" s="433" t="e">
        <f>F78+F94+F102+F125+F133</f>
        <v>#REF!</v>
      </c>
      <c r="G77" s="433" t="e">
        <f>G78+G94+G102+G125+G133</f>
        <v>#REF!</v>
      </c>
      <c r="H77" s="433" t="e">
        <f>H78+H94+H102+H125+H133+H91</f>
        <v>#REF!</v>
      </c>
      <c r="I77" s="433" t="e">
        <f>I78+I94+I102+I125+I133+I91</f>
        <v>#REF!</v>
      </c>
      <c r="J77" s="433" t="e">
        <f>J78+J94+J102+J125+J133+J91</f>
        <v>#REF!</v>
      </c>
      <c r="K77" s="433">
        <f>K78+K92+K94+K102+K125+K133+K91+K138</f>
        <v>2434812</v>
      </c>
      <c r="L77" s="433">
        <f>L78+L92+L94+L102+L125+L133+L91+L138</f>
        <v>2422501</v>
      </c>
      <c r="M77" s="433">
        <f>M78+M92+M94+M102+M125+M133+M91+M138</f>
        <v>107746</v>
      </c>
      <c r="N77" s="433">
        <f>N78+N92+N94+N102+N125+N133+N91+N138</f>
        <v>2310035</v>
      </c>
      <c r="O77" s="433">
        <f>O78+O92+O94+O102+O125+O133+O91+O138</f>
        <v>4720</v>
      </c>
      <c r="P77" s="430">
        <f t="shared" si="16"/>
        <v>0.994943757464642</v>
      </c>
    </row>
    <row r="78" spans="1:16" ht="13.5" customHeight="1">
      <c r="A78" s="449" t="s">
        <v>285</v>
      </c>
      <c r="B78" s="460"/>
      <c r="C78" s="450" t="s">
        <v>286</v>
      </c>
      <c r="D78" s="451">
        <f>D79+D80+D81+D83</f>
        <v>120453</v>
      </c>
      <c r="E78" s="451">
        <f>E79+E80+E81+E82+E83+E84</f>
        <v>120857</v>
      </c>
      <c r="F78" s="451">
        <f>F79+F80+F81+F82+F83+F84</f>
        <v>0</v>
      </c>
      <c r="G78" s="451">
        <f>G79+G80+G81+G82+G83+G84</f>
        <v>0</v>
      </c>
      <c r="H78" s="451">
        <f aca="true" t="shared" si="17" ref="H78:O78">H79+H80+H81+H82+H83+H84+H86+H87+H88+H89</f>
        <v>89799</v>
      </c>
      <c r="I78" s="451">
        <f t="shared" si="17"/>
        <v>126</v>
      </c>
      <c r="J78" s="451">
        <f t="shared" si="17"/>
        <v>126</v>
      </c>
      <c r="K78" s="451">
        <f>K79+K80+K81+K82+K83+K84+K85+K86+K87+K88+K89</f>
        <v>94258</v>
      </c>
      <c r="L78" s="451">
        <f>L79+L80+L81+L82+L83+L84+L85+L86+L87+L88+L89</f>
        <v>94258</v>
      </c>
      <c r="M78" s="451">
        <f>M79+M80+M81+M82+M83+M84+M85+M86+M87+M88+M89</f>
        <v>94258</v>
      </c>
      <c r="N78" s="454">
        <f t="shared" si="17"/>
        <v>0</v>
      </c>
      <c r="O78" s="454">
        <f t="shared" si="17"/>
        <v>0</v>
      </c>
      <c r="P78" s="452">
        <f t="shared" si="16"/>
        <v>1</v>
      </c>
    </row>
    <row r="79" spans="1:16" ht="14.25" customHeight="1">
      <c r="A79" s="140"/>
      <c r="B79" s="130" t="s">
        <v>230</v>
      </c>
      <c r="C79" s="74" t="s">
        <v>263</v>
      </c>
      <c r="D79" s="131">
        <v>90000</v>
      </c>
      <c r="E79" s="131">
        <v>90000</v>
      </c>
      <c r="F79" s="131">
        <v>0</v>
      </c>
      <c r="G79" s="131">
        <v>0</v>
      </c>
      <c r="H79" s="131">
        <v>51600</v>
      </c>
      <c r="I79" s="131">
        <v>0</v>
      </c>
      <c r="J79" s="131">
        <v>0</v>
      </c>
      <c r="K79" s="131">
        <v>10000</v>
      </c>
      <c r="L79" s="131">
        <v>10000</v>
      </c>
      <c r="M79" s="131">
        <f aca="true" t="shared" si="18" ref="M79:M89">L79</f>
        <v>10000</v>
      </c>
      <c r="N79" s="132">
        <v>0</v>
      </c>
      <c r="O79" s="132">
        <v>0</v>
      </c>
      <c r="P79" s="127">
        <f t="shared" si="16"/>
        <v>1</v>
      </c>
    </row>
    <row r="80" spans="1:16" ht="15" customHeight="1">
      <c r="A80" s="140"/>
      <c r="B80" s="130" t="s">
        <v>238</v>
      </c>
      <c r="C80" s="74" t="s">
        <v>287</v>
      </c>
      <c r="D80" s="131">
        <v>6390</v>
      </c>
      <c r="E80" s="131">
        <v>6390</v>
      </c>
      <c r="F80" s="131">
        <v>0</v>
      </c>
      <c r="G80" s="131">
        <v>0</v>
      </c>
      <c r="H80" s="131">
        <v>3825</v>
      </c>
      <c r="I80" s="131">
        <v>0</v>
      </c>
      <c r="J80" s="131">
        <v>0</v>
      </c>
      <c r="K80" s="131">
        <v>55440</v>
      </c>
      <c r="L80" s="131">
        <v>55440</v>
      </c>
      <c r="M80" s="131">
        <f t="shared" si="18"/>
        <v>55440</v>
      </c>
      <c r="N80" s="132">
        <v>0</v>
      </c>
      <c r="O80" s="132">
        <v>0</v>
      </c>
      <c r="P80" s="127">
        <f t="shared" si="16"/>
        <v>1</v>
      </c>
    </row>
    <row r="81" spans="1:16" ht="14.25" customHeight="1">
      <c r="A81" s="140"/>
      <c r="B81" s="135" t="s">
        <v>240</v>
      </c>
      <c r="C81" s="74" t="s">
        <v>241</v>
      </c>
      <c r="D81" s="131">
        <v>19597</v>
      </c>
      <c r="E81" s="131">
        <v>17235</v>
      </c>
      <c r="F81" s="131">
        <v>0</v>
      </c>
      <c r="G81" s="131">
        <v>0</v>
      </c>
      <c r="H81" s="131">
        <v>9550</v>
      </c>
      <c r="I81" s="131">
        <v>0</v>
      </c>
      <c r="J81" s="131">
        <v>0</v>
      </c>
      <c r="K81" s="131">
        <v>4590</v>
      </c>
      <c r="L81" s="131">
        <v>4590</v>
      </c>
      <c r="M81" s="131">
        <f t="shared" si="18"/>
        <v>4590</v>
      </c>
      <c r="N81" s="132">
        <v>0</v>
      </c>
      <c r="O81" s="132">
        <v>0</v>
      </c>
      <c r="P81" s="127">
        <f t="shared" si="16"/>
        <v>1</v>
      </c>
    </row>
    <row r="82" spans="1:16" ht="13.5" customHeight="1">
      <c r="A82" s="140"/>
      <c r="B82" s="135" t="s">
        <v>242</v>
      </c>
      <c r="C82" s="74" t="s">
        <v>288</v>
      </c>
      <c r="D82" s="131"/>
      <c r="E82" s="131">
        <v>2362</v>
      </c>
      <c r="F82" s="131">
        <v>0</v>
      </c>
      <c r="G82" s="131">
        <v>0</v>
      </c>
      <c r="H82" s="131">
        <v>1358</v>
      </c>
      <c r="I82" s="131">
        <v>0</v>
      </c>
      <c r="J82" s="131">
        <v>0</v>
      </c>
      <c r="K82" s="131">
        <v>10321</v>
      </c>
      <c r="L82" s="131">
        <v>10321</v>
      </c>
      <c r="M82" s="131">
        <f t="shared" si="18"/>
        <v>10321</v>
      </c>
      <c r="N82" s="132">
        <v>0</v>
      </c>
      <c r="O82" s="132">
        <v>0</v>
      </c>
      <c r="P82" s="127">
        <f t="shared" si="16"/>
        <v>1</v>
      </c>
    </row>
    <row r="83" spans="1:16" ht="18.75" customHeight="1" hidden="1">
      <c r="A83" s="140"/>
      <c r="B83" s="130"/>
      <c r="C83" s="74" t="s">
        <v>281</v>
      </c>
      <c r="D83" s="131">
        <v>4466</v>
      </c>
      <c r="E83" s="131">
        <v>1767</v>
      </c>
      <c r="F83" s="131">
        <v>0</v>
      </c>
      <c r="G83" s="131">
        <v>0</v>
      </c>
      <c r="H83" s="131"/>
      <c r="I83" s="131"/>
      <c r="J83" s="131"/>
      <c r="K83" s="131">
        <f>H83+I83-J83</f>
        <v>0</v>
      </c>
      <c r="L83" s="131"/>
      <c r="M83" s="131">
        <f t="shared" si="18"/>
        <v>0</v>
      </c>
      <c r="N83" s="132"/>
      <c r="O83" s="132"/>
      <c r="P83" s="127" t="e">
        <f t="shared" si="16"/>
        <v>#DIV/0!</v>
      </c>
    </row>
    <row r="84" spans="1:16" ht="14.25" customHeight="1">
      <c r="A84" s="140"/>
      <c r="B84" s="130" t="s">
        <v>244</v>
      </c>
      <c r="C84" s="74" t="s">
        <v>289</v>
      </c>
      <c r="D84" s="131"/>
      <c r="E84" s="131">
        <v>3103</v>
      </c>
      <c r="F84" s="131">
        <v>0</v>
      </c>
      <c r="G84" s="131">
        <v>0</v>
      </c>
      <c r="H84" s="131">
        <v>1691</v>
      </c>
      <c r="I84" s="131">
        <v>0</v>
      </c>
      <c r="J84" s="131">
        <v>0</v>
      </c>
      <c r="K84" s="131">
        <v>1471</v>
      </c>
      <c r="L84" s="131">
        <v>1471</v>
      </c>
      <c r="M84" s="131">
        <f t="shared" si="18"/>
        <v>1471</v>
      </c>
      <c r="N84" s="132">
        <v>0</v>
      </c>
      <c r="O84" s="132">
        <v>0</v>
      </c>
      <c r="P84" s="127">
        <f t="shared" si="16"/>
        <v>1</v>
      </c>
    </row>
    <row r="85" spans="1:16" ht="14.25" customHeight="1">
      <c r="A85" s="140"/>
      <c r="B85" s="130" t="s">
        <v>665</v>
      </c>
      <c r="C85" s="74" t="s">
        <v>666</v>
      </c>
      <c r="D85" s="131"/>
      <c r="E85" s="131"/>
      <c r="F85" s="131"/>
      <c r="G85" s="131"/>
      <c r="H85" s="131"/>
      <c r="I85" s="131"/>
      <c r="J85" s="131"/>
      <c r="K85" s="131">
        <v>7200</v>
      </c>
      <c r="L85" s="131">
        <v>7200</v>
      </c>
      <c r="M85" s="131">
        <f t="shared" si="18"/>
        <v>7200</v>
      </c>
      <c r="N85" s="132"/>
      <c r="O85" s="132"/>
      <c r="P85" s="127">
        <f t="shared" si="16"/>
        <v>1</v>
      </c>
    </row>
    <row r="86" spans="1:16" ht="14.25" customHeight="1">
      <c r="A86" s="140"/>
      <c r="B86" s="130" t="s">
        <v>225</v>
      </c>
      <c r="C86" s="74" t="s">
        <v>226</v>
      </c>
      <c r="D86" s="131"/>
      <c r="E86" s="131"/>
      <c r="F86" s="131"/>
      <c r="G86" s="131"/>
      <c r="H86" s="131">
        <v>17600</v>
      </c>
      <c r="I86" s="131">
        <v>0</v>
      </c>
      <c r="J86" s="131">
        <v>0</v>
      </c>
      <c r="K86" s="131">
        <v>1060</v>
      </c>
      <c r="L86" s="131">
        <v>1060</v>
      </c>
      <c r="M86" s="131">
        <f t="shared" si="18"/>
        <v>1060</v>
      </c>
      <c r="N86" s="132">
        <v>0</v>
      </c>
      <c r="O86" s="132">
        <v>0</v>
      </c>
      <c r="P86" s="127">
        <f t="shared" si="16"/>
        <v>1</v>
      </c>
    </row>
    <row r="87" spans="1:16" ht="15" customHeight="1">
      <c r="A87" s="140"/>
      <c r="B87" s="130" t="s">
        <v>228</v>
      </c>
      <c r="C87" s="74" t="s">
        <v>290</v>
      </c>
      <c r="D87" s="131"/>
      <c r="E87" s="131"/>
      <c r="F87" s="131"/>
      <c r="G87" s="131"/>
      <c r="H87" s="131">
        <v>2225</v>
      </c>
      <c r="I87" s="131">
        <v>0</v>
      </c>
      <c r="J87" s="131">
        <v>0</v>
      </c>
      <c r="K87" s="131">
        <v>1438</v>
      </c>
      <c r="L87" s="131">
        <v>1438</v>
      </c>
      <c r="M87" s="131">
        <f t="shared" si="18"/>
        <v>1438</v>
      </c>
      <c r="N87" s="132">
        <v>0</v>
      </c>
      <c r="O87" s="132">
        <v>0</v>
      </c>
      <c r="P87" s="127">
        <f t="shared" si="16"/>
        <v>1</v>
      </c>
    </row>
    <row r="88" spans="1:16" ht="16.5" customHeight="1">
      <c r="A88" s="140"/>
      <c r="B88" s="130" t="s">
        <v>254</v>
      </c>
      <c r="C88" s="74" t="s">
        <v>255</v>
      </c>
      <c r="D88" s="131"/>
      <c r="E88" s="131"/>
      <c r="F88" s="131"/>
      <c r="G88" s="131"/>
      <c r="H88" s="141">
        <v>1250</v>
      </c>
      <c r="I88" s="141">
        <v>0</v>
      </c>
      <c r="J88" s="141">
        <v>126</v>
      </c>
      <c r="K88" s="131">
        <v>882</v>
      </c>
      <c r="L88" s="131">
        <v>882</v>
      </c>
      <c r="M88" s="131">
        <f t="shared" si="18"/>
        <v>882</v>
      </c>
      <c r="N88" s="132">
        <v>0</v>
      </c>
      <c r="O88" s="132">
        <v>0</v>
      </c>
      <c r="P88" s="127">
        <f t="shared" si="16"/>
        <v>1</v>
      </c>
    </row>
    <row r="89" spans="1:16" ht="15.75" customHeight="1">
      <c r="A89" s="140"/>
      <c r="B89" s="130" t="s">
        <v>221</v>
      </c>
      <c r="C89" s="74" t="s">
        <v>222</v>
      </c>
      <c r="D89" s="131"/>
      <c r="E89" s="131"/>
      <c r="F89" s="131"/>
      <c r="G89" s="131"/>
      <c r="H89" s="131">
        <v>700</v>
      </c>
      <c r="I89" s="131">
        <v>126</v>
      </c>
      <c r="J89" s="131">
        <v>0</v>
      </c>
      <c r="K89" s="131">
        <v>1856</v>
      </c>
      <c r="L89" s="131">
        <v>1856</v>
      </c>
      <c r="M89" s="131">
        <f t="shared" si="18"/>
        <v>1856</v>
      </c>
      <c r="N89" s="132">
        <v>0</v>
      </c>
      <c r="O89" s="132">
        <v>0</v>
      </c>
      <c r="P89" s="127">
        <f t="shared" si="16"/>
        <v>1</v>
      </c>
    </row>
    <row r="90" spans="1:16" ht="17.25" customHeight="1" hidden="1">
      <c r="A90" s="129" t="s">
        <v>291</v>
      </c>
      <c r="B90" s="130"/>
      <c r="C90" s="137" t="s">
        <v>292</v>
      </c>
      <c r="D90" s="138"/>
      <c r="E90" s="138"/>
      <c r="F90" s="138"/>
      <c r="G90" s="138"/>
      <c r="H90" s="138">
        <f>H91</f>
        <v>0</v>
      </c>
      <c r="I90" s="138">
        <f>I91</f>
        <v>0</v>
      </c>
      <c r="J90" s="138">
        <f>J91</f>
        <v>0</v>
      </c>
      <c r="K90" s="138">
        <f>K91</f>
        <v>0</v>
      </c>
      <c r="L90" s="138"/>
      <c r="M90" s="138">
        <f>M91</f>
        <v>0</v>
      </c>
      <c r="N90" s="138">
        <f>N91</f>
        <v>0</v>
      </c>
      <c r="O90" s="138">
        <f>O91</f>
        <v>0</v>
      </c>
      <c r="P90" s="127" t="e">
        <f t="shared" si="16"/>
        <v>#DIV/0!</v>
      </c>
    </row>
    <row r="91" spans="1:16" ht="32.25" customHeight="1" hidden="1">
      <c r="A91" s="140"/>
      <c r="B91" s="130" t="s">
        <v>293</v>
      </c>
      <c r="C91" s="74" t="s">
        <v>294</v>
      </c>
      <c r="D91" s="131"/>
      <c r="E91" s="131"/>
      <c r="F91" s="131"/>
      <c r="G91" s="131"/>
      <c r="H91" s="131">
        <v>0</v>
      </c>
      <c r="I91" s="131">
        <v>0</v>
      </c>
      <c r="J91" s="131">
        <v>0</v>
      </c>
      <c r="K91" s="131">
        <f>H91+I91-J91</f>
        <v>0</v>
      </c>
      <c r="L91" s="131"/>
      <c r="M91" s="131">
        <v>0</v>
      </c>
      <c r="N91" s="132">
        <v>0</v>
      </c>
      <c r="O91" s="132">
        <f>K91</f>
        <v>0</v>
      </c>
      <c r="P91" s="127" t="e">
        <f t="shared" si="16"/>
        <v>#DIV/0!</v>
      </c>
    </row>
    <row r="92" spans="1:16" ht="15" customHeight="1">
      <c r="A92" s="449" t="s">
        <v>291</v>
      </c>
      <c r="B92" s="460"/>
      <c r="C92" s="450" t="s">
        <v>295</v>
      </c>
      <c r="D92" s="451"/>
      <c r="E92" s="451"/>
      <c r="F92" s="451"/>
      <c r="G92" s="451"/>
      <c r="H92" s="451"/>
      <c r="I92" s="451"/>
      <c r="J92" s="451"/>
      <c r="K92" s="451">
        <f>K93</f>
        <v>2720</v>
      </c>
      <c r="L92" s="451">
        <f>L93</f>
        <v>2720</v>
      </c>
      <c r="M92" s="451">
        <f>M93</f>
        <v>0</v>
      </c>
      <c r="N92" s="451">
        <f>N93</f>
        <v>0</v>
      </c>
      <c r="O92" s="451">
        <f>O93</f>
        <v>2720</v>
      </c>
      <c r="P92" s="452">
        <f t="shared" si="16"/>
        <v>1</v>
      </c>
    </row>
    <row r="93" spans="1:16" ht="21" customHeight="1">
      <c r="A93" s="140"/>
      <c r="B93" s="130" t="s">
        <v>293</v>
      </c>
      <c r="C93" s="74" t="s">
        <v>296</v>
      </c>
      <c r="D93" s="131"/>
      <c r="E93" s="131"/>
      <c r="F93" s="131"/>
      <c r="G93" s="131"/>
      <c r="H93" s="131"/>
      <c r="I93" s="131"/>
      <c r="J93" s="131"/>
      <c r="K93" s="131">
        <v>2720</v>
      </c>
      <c r="L93" s="131">
        <v>2720</v>
      </c>
      <c r="M93" s="131">
        <v>0</v>
      </c>
      <c r="N93" s="132">
        <v>0</v>
      </c>
      <c r="O93" s="132">
        <f>L93</f>
        <v>2720</v>
      </c>
      <c r="P93" s="127">
        <f t="shared" si="16"/>
        <v>1</v>
      </c>
    </row>
    <row r="94" spans="1:16" ht="15" customHeight="1">
      <c r="A94" s="449" t="s">
        <v>297</v>
      </c>
      <c r="B94" s="460"/>
      <c r="C94" s="450" t="s">
        <v>298</v>
      </c>
      <c r="D94" s="451">
        <f>D95</f>
        <v>134900</v>
      </c>
      <c r="E94" s="451">
        <f>E95+E96+E97+E98</f>
        <v>200000</v>
      </c>
      <c r="F94" s="451">
        <f>F95+F96+F97+F98</f>
        <v>0</v>
      </c>
      <c r="G94" s="451">
        <f>G95+G96+G97+G98</f>
        <v>0</v>
      </c>
      <c r="H94" s="451">
        <f>H95+H99+H100</f>
        <v>86060</v>
      </c>
      <c r="I94" s="451">
        <f>I95+I99+I100</f>
        <v>8446</v>
      </c>
      <c r="J94" s="451">
        <f>J95+J99+J100</f>
        <v>8446</v>
      </c>
      <c r="K94" s="451">
        <f>K95+K99+K100+K101</f>
        <v>92818</v>
      </c>
      <c r="L94" s="451">
        <f>L95+L99+L100+L101</f>
        <v>91746</v>
      </c>
      <c r="M94" s="451">
        <f>M95+M99+M100+M101</f>
        <v>0</v>
      </c>
      <c r="N94" s="451">
        <f>N95+N99+N100+N101</f>
        <v>91746</v>
      </c>
      <c r="O94" s="451">
        <f>O95+O99+O100+O101</f>
        <v>0</v>
      </c>
      <c r="P94" s="452">
        <f t="shared" si="16"/>
        <v>0.9884505160636945</v>
      </c>
    </row>
    <row r="95" spans="1:16" ht="14.25" customHeight="1">
      <c r="A95" s="140"/>
      <c r="B95" s="130" t="s">
        <v>217</v>
      </c>
      <c r="C95" s="74" t="s">
        <v>233</v>
      </c>
      <c r="D95" s="131">
        <v>134900</v>
      </c>
      <c r="E95" s="131">
        <v>191600</v>
      </c>
      <c r="F95" s="131">
        <v>0</v>
      </c>
      <c r="G95" s="131">
        <v>0</v>
      </c>
      <c r="H95" s="131">
        <v>74690</v>
      </c>
      <c r="I95" s="131">
        <v>0</v>
      </c>
      <c r="J95" s="131">
        <v>8446</v>
      </c>
      <c r="K95" s="131">
        <v>65593</v>
      </c>
      <c r="L95" s="131">
        <v>64521</v>
      </c>
      <c r="M95" s="131">
        <v>0</v>
      </c>
      <c r="N95" s="132">
        <f>L95</f>
        <v>64521</v>
      </c>
      <c r="O95" s="132">
        <v>0</v>
      </c>
      <c r="P95" s="127">
        <f t="shared" si="16"/>
        <v>0.9836567926455567</v>
      </c>
    </row>
    <row r="96" spans="1:16" ht="12.75" customHeight="1" hidden="1">
      <c r="A96" s="140"/>
      <c r="B96" s="130" t="s">
        <v>225</v>
      </c>
      <c r="C96" s="74" t="s">
        <v>249</v>
      </c>
      <c r="D96" s="131">
        <v>128020</v>
      </c>
      <c r="E96" s="131">
        <v>3500</v>
      </c>
      <c r="F96" s="131">
        <v>0</v>
      </c>
      <c r="G96" s="131">
        <v>0</v>
      </c>
      <c r="H96" s="131"/>
      <c r="I96" s="131"/>
      <c r="J96" s="131"/>
      <c r="K96" s="131">
        <f>H96+I96-J96</f>
        <v>0</v>
      </c>
      <c r="L96" s="131"/>
      <c r="M96" s="131"/>
      <c r="N96" s="132"/>
      <c r="O96" s="132"/>
      <c r="P96" s="127" t="e">
        <f t="shared" si="16"/>
        <v>#DIV/0!</v>
      </c>
    </row>
    <row r="97" spans="1:16" ht="12.75" customHeight="1" hidden="1">
      <c r="A97" s="140"/>
      <c r="B97" s="130" t="s">
        <v>228</v>
      </c>
      <c r="C97" s="74" t="s">
        <v>229</v>
      </c>
      <c r="D97" s="131"/>
      <c r="E97" s="131">
        <v>4400</v>
      </c>
      <c r="F97" s="131">
        <v>0</v>
      </c>
      <c r="G97" s="131">
        <v>0</v>
      </c>
      <c r="H97" s="131"/>
      <c r="I97" s="131"/>
      <c r="J97" s="131"/>
      <c r="K97" s="131">
        <f>H97+I97-J97</f>
        <v>0</v>
      </c>
      <c r="L97" s="131"/>
      <c r="M97" s="131"/>
      <c r="N97" s="132"/>
      <c r="O97" s="132"/>
      <c r="P97" s="127" t="e">
        <f t="shared" si="16"/>
        <v>#DIV/0!</v>
      </c>
    </row>
    <row r="98" spans="1:16" ht="12.75" customHeight="1" hidden="1">
      <c r="A98" s="140"/>
      <c r="B98" s="130" t="s">
        <v>254</v>
      </c>
      <c r="C98" s="74" t="s">
        <v>255</v>
      </c>
      <c r="D98" s="131"/>
      <c r="E98" s="131">
        <v>500</v>
      </c>
      <c r="F98" s="131">
        <v>0</v>
      </c>
      <c r="G98" s="131">
        <v>0</v>
      </c>
      <c r="H98" s="131"/>
      <c r="I98" s="131"/>
      <c r="J98" s="131"/>
      <c r="K98" s="131">
        <f>H98+I98-J98</f>
        <v>0</v>
      </c>
      <c r="L98" s="131"/>
      <c r="M98" s="131"/>
      <c r="N98" s="132"/>
      <c r="O98" s="132"/>
      <c r="P98" s="127" t="e">
        <f t="shared" si="16"/>
        <v>#DIV/0!</v>
      </c>
    </row>
    <row r="99" spans="1:16" ht="12.75" customHeight="1">
      <c r="A99" s="140"/>
      <c r="B99" s="130" t="s">
        <v>225</v>
      </c>
      <c r="C99" s="74" t="s">
        <v>226</v>
      </c>
      <c r="D99" s="131"/>
      <c r="E99" s="131"/>
      <c r="F99" s="131"/>
      <c r="G99" s="131"/>
      <c r="H99" s="131">
        <v>3670</v>
      </c>
      <c r="I99" s="131">
        <v>8446</v>
      </c>
      <c r="J99" s="131">
        <v>0</v>
      </c>
      <c r="K99" s="131">
        <v>17000</v>
      </c>
      <c r="L99" s="131">
        <v>17000</v>
      </c>
      <c r="M99" s="131">
        <v>0</v>
      </c>
      <c r="N99" s="132">
        <f>L99</f>
        <v>17000</v>
      </c>
      <c r="O99" s="132">
        <v>0</v>
      </c>
      <c r="P99" s="127">
        <f t="shared" si="16"/>
        <v>1</v>
      </c>
    </row>
    <row r="100" spans="1:16" ht="12.75" customHeight="1">
      <c r="A100" s="140"/>
      <c r="B100" s="130" t="s">
        <v>228</v>
      </c>
      <c r="C100" s="74" t="s">
        <v>229</v>
      </c>
      <c r="D100" s="131"/>
      <c r="E100" s="131"/>
      <c r="F100" s="131"/>
      <c r="G100" s="131"/>
      <c r="H100" s="131">
        <v>7700</v>
      </c>
      <c r="I100" s="131">
        <v>0</v>
      </c>
      <c r="J100" s="131">
        <v>0</v>
      </c>
      <c r="K100" s="131">
        <v>9300</v>
      </c>
      <c r="L100" s="131">
        <v>9300</v>
      </c>
      <c r="M100" s="131">
        <v>0</v>
      </c>
      <c r="N100" s="132">
        <f>L100</f>
        <v>9300</v>
      </c>
      <c r="O100" s="132">
        <v>0</v>
      </c>
      <c r="P100" s="127">
        <f t="shared" si="16"/>
        <v>1</v>
      </c>
    </row>
    <row r="101" spans="1:16" ht="12.75" customHeight="1">
      <c r="A101" s="140"/>
      <c r="B101" s="130" t="s">
        <v>299</v>
      </c>
      <c r="C101" s="74" t="s">
        <v>300</v>
      </c>
      <c r="D101" s="131"/>
      <c r="E101" s="131"/>
      <c r="F101" s="131"/>
      <c r="G101" s="131"/>
      <c r="H101" s="131"/>
      <c r="I101" s="131"/>
      <c r="J101" s="131"/>
      <c r="K101" s="131">
        <v>925</v>
      </c>
      <c r="L101" s="131">
        <v>925</v>
      </c>
      <c r="M101" s="131">
        <v>0</v>
      </c>
      <c r="N101" s="132">
        <f>L101</f>
        <v>925</v>
      </c>
      <c r="O101" s="132">
        <v>0</v>
      </c>
      <c r="P101" s="127">
        <f t="shared" si="16"/>
        <v>1</v>
      </c>
    </row>
    <row r="102" spans="1:16" ht="15.75" customHeight="1">
      <c r="A102" s="449" t="s">
        <v>301</v>
      </c>
      <c r="B102" s="460"/>
      <c r="C102" s="450" t="s">
        <v>302</v>
      </c>
      <c r="D102" s="451">
        <f>D104+D105+D106+D108+D122+D124</f>
        <v>2260189</v>
      </c>
      <c r="E102" s="451" t="e">
        <f>E104+E105+E106+E107+E108+E109+E111+E112+E113+E115+E117+#REF!+E120+E122+E124+E121</f>
        <v>#REF!</v>
      </c>
      <c r="F102" s="451" t="e">
        <f>F104+F105+F106+F107+F108+F109+F111+F112+F113+F115+F117+#REF!+F120+F122+F124+F121</f>
        <v>#REF!</v>
      </c>
      <c r="G102" s="451" t="e">
        <f>G104+G105+G106+G107+G108+G109+G111+G112+G113+G115+G117+#REF!+G120+G122+G124+G121</f>
        <v>#REF!</v>
      </c>
      <c r="H102" s="451" t="e">
        <f>H104+H105+H106+H107+#REF!+H109+H111+H112+H113+H115+H117+#REF!+H120+H121+H122+H123+H124+H118</f>
        <v>#REF!</v>
      </c>
      <c r="I102" s="451" t="e">
        <f>I104+I105+I106+I107+#REF!+I109+I111+I112+I113+I115+I117+#REF!+I120+I121+I122+I123+I124+I118</f>
        <v>#REF!</v>
      </c>
      <c r="J102" s="451" t="e">
        <f>J104+J105+J106+J107+#REF!+J109+J111+J112+J113+J115+J117+#REF!+J120+J121+J122+J123+J124+J118</f>
        <v>#REF!</v>
      </c>
      <c r="K102" s="451">
        <f>K103+K104+K105+K106+K107+K109+K110+K111+K112+K113+K114+K115+K116+K117+K118+K119+K120+K121+K122+K123+K124</f>
        <v>2209417</v>
      </c>
      <c r="L102" s="451">
        <f>L103+L104+L105+L106+L107+L109+L110+L111+L112+L113+L114+L115+L116+L117+L118+L119+L120+L121+L122+L123+L124</f>
        <v>2198178</v>
      </c>
      <c r="M102" s="451">
        <f>M103+M104+M105+M106+M107+M109+M110+M111+M112+M113+M114+M115+M116+M117+M118+M119+M120+M121+M122+M123+M124</f>
        <v>0</v>
      </c>
      <c r="N102" s="451">
        <f>N103+N104+N105+N106+N107+N109+N110+N111+N112+N113+N114+N115+N116+N117+N118+N119+N120+N121+N122+N123+N124</f>
        <v>2198178</v>
      </c>
      <c r="O102" s="451">
        <f>O103+O104+O105+O106+O107+O109+O111+O112+O113+O115+O116+O117+O120+O121+O122+O123+O124+O118</f>
        <v>0</v>
      </c>
      <c r="P102" s="452">
        <f t="shared" si="16"/>
        <v>0.9949131377191358</v>
      </c>
    </row>
    <row r="103" spans="1:16" ht="15.75" customHeight="1">
      <c r="A103" s="140"/>
      <c r="B103" s="130" t="s">
        <v>215</v>
      </c>
      <c r="C103" s="74" t="s">
        <v>303</v>
      </c>
      <c r="D103" s="131"/>
      <c r="E103" s="131"/>
      <c r="F103" s="131"/>
      <c r="G103" s="131"/>
      <c r="H103" s="131"/>
      <c r="I103" s="131"/>
      <c r="J103" s="131"/>
      <c r="K103" s="131">
        <v>300</v>
      </c>
      <c r="L103" s="131">
        <v>300</v>
      </c>
      <c r="M103" s="131">
        <v>0</v>
      </c>
      <c r="N103" s="132">
        <f aca="true" t="shared" si="19" ref="N103:N124">L103</f>
        <v>300</v>
      </c>
      <c r="O103" s="131">
        <v>0</v>
      </c>
      <c r="P103" s="127">
        <f t="shared" si="16"/>
        <v>1</v>
      </c>
    </row>
    <row r="104" spans="1:16" ht="15.75" customHeight="1">
      <c r="A104" s="140"/>
      <c r="B104" s="130" t="s">
        <v>238</v>
      </c>
      <c r="C104" s="74" t="s">
        <v>277</v>
      </c>
      <c r="D104" s="131">
        <v>1172382</v>
      </c>
      <c r="E104" s="131">
        <v>1396150</v>
      </c>
      <c r="F104" s="131">
        <v>0</v>
      </c>
      <c r="G104" s="131">
        <v>0</v>
      </c>
      <c r="H104" s="131">
        <v>1067815</v>
      </c>
      <c r="I104" s="131">
        <v>0</v>
      </c>
      <c r="J104" s="131">
        <v>0</v>
      </c>
      <c r="K104" s="131">
        <v>1198098</v>
      </c>
      <c r="L104" s="131">
        <v>1197835</v>
      </c>
      <c r="M104" s="131">
        <v>0</v>
      </c>
      <c r="N104" s="132">
        <f t="shared" si="19"/>
        <v>1197835</v>
      </c>
      <c r="O104" s="132">
        <v>0</v>
      </c>
      <c r="P104" s="127">
        <f t="shared" si="16"/>
        <v>0.9997804854026966</v>
      </c>
    </row>
    <row r="105" spans="1:16" ht="15.75" customHeight="1">
      <c r="A105" s="140"/>
      <c r="B105" s="130" t="s">
        <v>240</v>
      </c>
      <c r="C105" s="74" t="s">
        <v>241</v>
      </c>
      <c r="D105" s="131">
        <v>77447</v>
      </c>
      <c r="E105" s="131">
        <v>95133</v>
      </c>
      <c r="F105" s="131">
        <v>0</v>
      </c>
      <c r="G105" s="131">
        <v>0</v>
      </c>
      <c r="H105" s="131">
        <v>81433</v>
      </c>
      <c r="I105" s="131">
        <v>0</v>
      </c>
      <c r="J105" s="131">
        <v>0</v>
      </c>
      <c r="K105" s="131">
        <v>83385</v>
      </c>
      <c r="L105" s="131">
        <v>83385</v>
      </c>
      <c r="M105" s="131">
        <v>0</v>
      </c>
      <c r="N105" s="132">
        <f t="shared" si="19"/>
        <v>83385</v>
      </c>
      <c r="O105" s="132">
        <v>0</v>
      </c>
      <c r="P105" s="127">
        <f t="shared" si="16"/>
        <v>1</v>
      </c>
    </row>
    <row r="106" spans="1:16" ht="15" customHeight="1">
      <c r="A106" s="140"/>
      <c r="B106" s="135" t="s">
        <v>280</v>
      </c>
      <c r="C106" s="74" t="s">
        <v>243</v>
      </c>
      <c r="D106" s="131">
        <v>236159</v>
      </c>
      <c r="E106" s="131">
        <v>262390</v>
      </c>
      <c r="F106" s="131">
        <v>0</v>
      </c>
      <c r="G106" s="131">
        <v>0</v>
      </c>
      <c r="H106" s="131">
        <v>191509</v>
      </c>
      <c r="I106" s="131">
        <v>0</v>
      </c>
      <c r="J106" s="131">
        <v>2799</v>
      </c>
      <c r="K106" s="131">
        <v>199895</v>
      </c>
      <c r="L106" s="131">
        <v>199627</v>
      </c>
      <c r="M106" s="131">
        <v>0</v>
      </c>
      <c r="N106" s="132">
        <f t="shared" si="19"/>
        <v>199627</v>
      </c>
      <c r="O106" s="132">
        <v>0</v>
      </c>
      <c r="P106" s="127">
        <f aca="true" t="shared" si="20" ref="P106:P122">L106/K106</f>
        <v>0.9986592961304684</v>
      </c>
    </row>
    <row r="107" spans="1:16" ht="15" customHeight="1">
      <c r="A107" s="140"/>
      <c r="B107" s="135" t="s">
        <v>244</v>
      </c>
      <c r="C107" s="74" t="s">
        <v>245</v>
      </c>
      <c r="D107" s="131"/>
      <c r="E107" s="131">
        <v>35746</v>
      </c>
      <c r="F107" s="131">
        <v>0</v>
      </c>
      <c r="G107" s="131">
        <v>0</v>
      </c>
      <c r="H107" s="131">
        <v>27914</v>
      </c>
      <c r="I107" s="131">
        <v>0</v>
      </c>
      <c r="J107" s="131">
        <v>95</v>
      </c>
      <c r="K107" s="131">
        <v>31836</v>
      </c>
      <c r="L107" s="131">
        <v>31828</v>
      </c>
      <c r="M107" s="131">
        <v>0</v>
      </c>
      <c r="N107" s="132">
        <f t="shared" si="19"/>
        <v>31828</v>
      </c>
      <c r="O107" s="132">
        <v>0</v>
      </c>
      <c r="P107" s="127">
        <f t="shared" si="20"/>
        <v>0.9997487121497676</v>
      </c>
    </row>
    <row r="108" spans="1:16" ht="16.5" customHeight="1" hidden="1">
      <c r="A108" s="140"/>
      <c r="B108" s="130"/>
      <c r="C108" s="74" t="s">
        <v>281</v>
      </c>
      <c r="D108" s="131">
        <v>673201</v>
      </c>
      <c r="E108" s="131">
        <v>5676</v>
      </c>
      <c r="F108" s="131">
        <v>0</v>
      </c>
      <c r="G108" s="131">
        <v>0</v>
      </c>
      <c r="H108" s="131"/>
      <c r="I108" s="131">
        <v>0</v>
      </c>
      <c r="J108" s="131">
        <v>0</v>
      </c>
      <c r="K108" s="131">
        <f>H108+I108-J108</f>
        <v>0</v>
      </c>
      <c r="L108" s="131"/>
      <c r="M108" s="131"/>
      <c r="N108" s="132">
        <f t="shared" si="19"/>
        <v>0</v>
      </c>
      <c r="O108" s="132"/>
      <c r="P108" s="127" t="e">
        <f t="shared" si="20"/>
        <v>#DIV/0!</v>
      </c>
    </row>
    <row r="109" spans="1:16" ht="15.75" customHeight="1" hidden="1">
      <c r="A109" s="140"/>
      <c r="B109" s="130" t="s">
        <v>217</v>
      </c>
      <c r="C109" s="74" t="s">
        <v>218</v>
      </c>
      <c r="D109" s="131"/>
      <c r="E109" s="131">
        <v>1250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  <c r="K109" s="131">
        <f>H109+I109-J109</f>
        <v>0</v>
      </c>
      <c r="L109" s="131"/>
      <c r="M109" s="131">
        <v>0</v>
      </c>
      <c r="N109" s="132">
        <f t="shared" si="19"/>
        <v>0</v>
      </c>
      <c r="O109" s="132">
        <v>0</v>
      </c>
      <c r="P109" s="127" t="e">
        <f t="shared" si="20"/>
        <v>#DIV/0!</v>
      </c>
    </row>
    <row r="110" spans="1:16" ht="15.75" customHeight="1">
      <c r="A110" s="140"/>
      <c r="B110" s="130" t="s">
        <v>665</v>
      </c>
      <c r="C110" s="74" t="s">
        <v>666</v>
      </c>
      <c r="D110" s="131"/>
      <c r="E110" s="131"/>
      <c r="F110" s="131"/>
      <c r="G110" s="131"/>
      <c r="H110" s="131"/>
      <c r="I110" s="131"/>
      <c r="J110" s="131"/>
      <c r="K110" s="131">
        <v>4050</v>
      </c>
      <c r="L110" s="131">
        <v>4050</v>
      </c>
      <c r="M110" s="131">
        <v>0</v>
      </c>
      <c r="N110" s="132">
        <f t="shared" si="19"/>
        <v>4050</v>
      </c>
      <c r="O110" s="132">
        <v>0</v>
      </c>
      <c r="P110" s="127">
        <f t="shared" si="20"/>
        <v>1</v>
      </c>
    </row>
    <row r="111" spans="1:16" ht="15.75" customHeight="1">
      <c r="A111" s="140"/>
      <c r="B111" s="130" t="s">
        <v>225</v>
      </c>
      <c r="C111" s="74" t="s">
        <v>249</v>
      </c>
      <c r="D111" s="131"/>
      <c r="E111" s="131">
        <v>125516</v>
      </c>
      <c r="F111" s="131">
        <v>18656</v>
      </c>
      <c r="G111" s="131">
        <v>0</v>
      </c>
      <c r="H111" s="131">
        <v>60370</v>
      </c>
      <c r="I111" s="131">
        <v>11574</v>
      </c>
      <c r="J111" s="131">
        <v>0</v>
      </c>
      <c r="K111" s="131">
        <v>95846</v>
      </c>
      <c r="L111" s="131">
        <v>95090</v>
      </c>
      <c r="M111" s="131">
        <v>0</v>
      </c>
      <c r="N111" s="132">
        <f t="shared" si="19"/>
        <v>95090</v>
      </c>
      <c r="O111" s="132">
        <v>0</v>
      </c>
      <c r="P111" s="127">
        <f t="shared" si="20"/>
        <v>0.9921123468898024</v>
      </c>
    </row>
    <row r="112" spans="1:16" ht="15.75" customHeight="1">
      <c r="A112" s="140"/>
      <c r="B112" s="130" t="s">
        <v>250</v>
      </c>
      <c r="C112" s="74" t="s">
        <v>251</v>
      </c>
      <c r="D112" s="131"/>
      <c r="E112" s="131">
        <v>60600</v>
      </c>
      <c r="F112" s="131">
        <v>0</v>
      </c>
      <c r="G112" s="131">
        <v>0</v>
      </c>
      <c r="H112" s="131">
        <v>67000</v>
      </c>
      <c r="I112" s="131">
        <v>0</v>
      </c>
      <c r="J112" s="131">
        <v>6272</v>
      </c>
      <c r="K112" s="131">
        <v>60000</v>
      </c>
      <c r="L112" s="131">
        <v>60000</v>
      </c>
      <c r="M112" s="131">
        <v>0</v>
      </c>
      <c r="N112" s="132">
        <f t="shared" si="19"/>
        <v>60000</v>
      </c>
      <c r="O112" s="132">
        <v>0</v>
      </c>
      <c r="P112" s="127">
        <f t="shared" si="20"/>
        <v>1</v>
      </c>
    </row>
    <row r="113" spans="1:16" ht="16.5" customHeight="1" hidden="1">
      <c r="A113" s="140"/>
      <c r="B113" s="130" t="s">
        <v>252</v>
      </c>
      <c r="C113" s="74" t="s">
        <v>253</v>
      </c>
      <c r="D113" s="131"/>
      <c r="E113" s="131">
        <v>50000</v>
      </c>
      <c r="F113" s="131">
        <v>0</v>
      </c>
      <c r="G113" s="131">
        <v>18859</v>
      </c>
      <c r="H113" s="131">
        <v>0</v>
      </c>
      <c r="I113" s="131">
        <v>0</v>
      </c>
      <c r="J113" s="131">
        <v>0</v>
      </c>
      <c r="K113" s="131">
        <f>H113+I113-J113</f>
        <v>0</v>
      </c>
      <c r="L113" s="131"/>
      <c r="M113" s="131">
        <v>0</v>
      </c>
      <c r="N113" s="132">
        <f t="shared" si="19"/>
        <v>0</v>
      </c>
      <c r="O113" s="132">
        <v>0</v>
      </c>
      <c r="P113" s="127" t="e">
        <f t="shared" si="20"/>
        <v>#DIV/0!</v>
      </c>
    </row>
    <row r="114" spans="1:16" ht="16.5" customHeight="1">
      <c r="A114" s="140"/>
      <c r="B114" s="130" t="s">
        <v>252</v>
      </c>
      <c r="C114" s="74" t="s">
        <v>253</v>
      </c>
      <c r="D114" s="131"/>
      <c r="E114" s="131"/>
      <c r="F114" s="131"/>
      <c r="G114" s="131"/>
      <c r="H114" s="131"/>
      <c r="I114" s="131"/>
      <c r="J114" s="131"/>
      <c r="K114" s="131">
        <v>30000</v>
      </c>
      <c r="L114" s="131">
        <v>23678</v>
      </c>
      <c r="M114" s="131">
        <v>0</v>
      </c>
      <c r="N114" s="132">
        <f t="shared" si="19"/>
        <v>23678</v>
      </c>
      <c r="O114" s="132">
        <v>0</v>
      </c>
      <c r="P114" s="127">
        <f t="shared" si="20"/>
        <v>0.7892666666666667</v>
      </c>
    </row>
    <row r="115" spans="1:16" ht="13.5" customHeight="1">
      <c r="A115" s="140"/>
      <c r="B115" s="130" t="s">
        <v>228</v>
      </c>
      <c r="C115" s="74" t="s">
        <v>229</v>
      </c>
      <c r="D115" s="131"/>
      <c r="E115" s="131">
        <v>427481</v>
      </c>
      <c r="F115" s="131">
        <v>18859</v>
      </c>
      <c r="G115" s="131">
        <v>0</v>
      </c>
      <c r="H115" s="131">
        <v>370087</v>
      </c>
      <c r="I115" s="131">
        <v>0</v>
      </c>
      <c r="J115" s="131">
        <v>2715</v>
      </c>
      <c r="K115" s="131">
        <v>438011</v>
      </c>
      <c r="L115" s="131">
        <v>434804</v>
      </c>
      <c r="M115" s="131">
        <v>0</v>
      </c>
      <c r="N115" s="132">
        <f t="shared" si="19"/>
        <v>434804</v>
      </c>
      <c r="O115" s="132">
        <v>0</v>
      </c>
      <c r="P115" s="127">
        <f t="shared" si="20"/>
        <v>0.9926782660709434</v>
      </c>
    </row>
    <row r="116" spans="1:16" ht="13.5" customHeight="1">
      <c r="A116" s="140"/>
      <c r="B116" s="130" t="s">
        <v>667</v>
      </c>
      <c r="C116" s="74" t="s">
        <v>669</v>
      </c>
      <c r="D116" s="131"/>
      <c r="E116" s="131"/>
      <c r="F116" s="131"/>
      <c r="G116" s="131"/>
      <c r="H116" s="131"/>
      <c r="I116" s="131"/>
      <c r="J116" s="131"/>
      <c r="K116" s="131">
        <v>3600</v>
      </c>
      <c r="L116" s="131">
        <v>3600</v>
      </c>
      <c r="M116" s="131">
        <v>0</v>
      </c>
      <c r="N116" s="132">
        <f t="shared" si="19"/>
        <v>3600</v>
      </c>
      <c r="O116" s="132">
        <v>0</v>
      </c>
      <c r="P116" s="127">
        <f t="shared" si="20"/>
        <v>1</v>
      </c>
    </row>
    <row r="117" spans="1:16" ht="14.25" customHeight="1">
      <c r="A117" s="140"/>
      <c r="B117" s="130" t="s">
        <v>254</v>
      </c>
      <c r="C117" s="74" t="s">
        <v>255</v>
      </c>
      <c r="D117" s="131"/>
      <c r="E117" s="131">
        <v>10250</v>
      </c>
      <c r="F117" s="131">
        <v>761</v>
      </c>
      <c r="G117" s="131">
        <v>0</v>
      </c>
      <c r="H117" s="131">
        <v>7547</v>
      </c>
      <c r="I117" s="131">
        <v>532</v>
      </c>
      <c r="J117" s="131">
        <v>0</v>
      </c>
      <c r="K117" s="131">
        <v>11000</v>
      </c>
      <c r="L117" s="131">
        <v>10585</v>
      </c>
      <c r="M117" s="131">
        <v>0</v>
      </c>
      <c r="N117" s="132">
        <f t="shared" si="19"/>
        <v>10585</v>
      </c>
      <c r="O117" s="132">
        <v>0</v>
      </c>
      <c r="P117" s="127">
        <f t="shared" si="20"/>
        <v>0.9622727272727273</v>
      </c>
    </row>
    <row r="118" spans="1:16" ht="14.25" customHeight="1">
      <c r="A118" s="140"/>
      <c r="B118" s="130" t="s">
        <v>299</v>
      </c>
      <c r="C118" s="74" t="s">
        <v>300</v>
      </c>
      <c r="D118" s="131"/>
      <c r="E118" s="131"/>
      <c r="F118" s="131"/>
      <c r="G118" s="131"/>
      <c r="H118" s="131">
        <v>453</v>
      </c>
      <c r="I118" s="131">
        <v>0</v>
      </c>
      <c r="J118" s="131">
        <v>0</v>
      </c>
      <c r="K118" s="131">
        <v>2386</v>
      </c>
      <c r="L118" s="131">
        <v>2386</v>
      </c>
      <c r="M118" s="131">
        <v>0</v>
      </c>
      <c r="N118" s="132">
        <f t="shared" si="19"/>
        <v>2386</v>
      </c>
      <c r="O118" s="132">
        <v>0</v>
      </c>
      <c r="P118" s="127">
        <f t="shared" si="20"/>
        <v>1</v>
      </c>
    </row>
    <row r="119" spans="1:16" ht="14.25" customHeight="1">
      <c r="A119" s="140"/>
      <c r="B119" s="130" t="s">
        <v>219</v>
      </c>
      <c r="C119" s="74" t="s">
        <v>220</v>
      </c>
      <c r="D119" s="131"/>
      <c r="E119" s="131"/>
      <c r="F119" s="131"/>
      <c r="G119" s="131"/>
      <c r="H119" s="131"/>
      <c r="I119" s="131"/>
      <c r="J119" s="131"/>
      <c r="K119" s="131">
        <v>587</v>
      </c>
      <c r="L119" s="131">
        <v>587</v>
      </c>
      <c r="M119" s="131">
        <v>0</v>
      </c>
      <c r="N119" s="132">
        <f t="shared" si="19"/>
        <v>587</v>
      </c>
      <c r="O119" s="132">
        <v>0</v>
      </c>
      <c r="P119" s="127">
        <f t="shared" si="20"/>
        <v>1</v>
      </c>
    </row>
    <row r="120" spans="1:16" ht="15.75" customHeight="1">
      <c r="A120" s="140"/>
      <c r="B120" s="130" t="s">
        <v>221</v>
      </c>
      <c r="C120" s="74" t="s">
        <v>222</v>
      </c>
      <c r="D120" s="131"/>
      <c r="E120" s="131">
        <v>40505</v>
      </c>
      <c r="F120" s="131">
        <v>0</v>
      </c>
      <c r="G120" s="131">
        <v>0</v>
      </c>
      <c r="H120" s="131">
        <v>30216</v>
      </c>
      <c r="I120" s="131">
        <v>322</v>
      </c>
      <c r="J120" s="131">
        <v>0</v>
      </c>
      <c r="K120" s="131">
        <v>35828</v>
      </c>
      <c r="L120" s="131">
        <v>35828</v>
      </c>
      <c r="M120" s="131">
        <v>0</v>
      </c>
      <c r="N120" s="132">
        <f t="shared" si="19"/>
        <v>35828</v>
      </c>
      <c r="O120" s="132">
        <v>0</v>
      </c>
      <c r="P120" s="127">
        <f t="shared" si="20"/>
        <v>1</v>
      </c>
    </row>
    <row r="121" spans="1:16" ht="16.5" customHeight="1" hidden="1">
      <c r="A121" s="140"/>
      <c r="B121" s="130" t="s">
        <v>271</v>
      </c>
      <c r="C121" s="74" t="s">
        <v>304</v>
      </c>
      <c r="D121" s="131"/>
      <c r="E121" s="131">
        <v>2563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f>H121+I121-J121</f>
        <v>0</v>
      </c>
      <c r="L121" s="131"/>
      <c r="M121" s="131">
        <v>0</v>
      </c>
      <c r="N121" s="132">
        <f t="shared" si="19"/>
        <v>0</v>
      </c>
      <c r="O121" s="132">
        <v>0</v>
      </c>
      <c r="P121" s="127" t="e">
        <f t="shared" si="20"/>
        <v>#DIV/0!</v>
      </c>
    </row>
    <row r="122" spans="1:16" ht="15.75" customHeight="1">
      <c r="A122" s="129"/>
      <c r="B122" s="135" t="s">
        <v>256</v>
      </c>
      <c r="C122" s="74" t="s">
        <v>257</v>
      </c>
      <c r="D122" s="131">
        <v>41000</v>
      </c>
      <c r="E122" s="131">
        <v>17600</v>
      </c>
      <c r="F122" s="131">
        <v>0</v>
      </c>
      <c r="G122" s="131">
        <v>0</v>
      </c>
      <c r="H122" s="131">
        <v>153</v>
      </c>
      <c r="I122" s="131">
        <v>0</v>
      </c>
      <c r="J122" s="131">
        <v>0</v>
      </c>
      <c r="K122" s="131">
        <v>181</v>
      </c>
      <c r="L122" s="131">
        <v>181</v>
      </c>
      <c r="M122" s="131">
        <v>0</v>
      </c>
      <c r="N122" s="132">
        <f t="shared" si="19"/>
        <v>181</v>
      </c>
      <c r="O122" s="132">
        <v>0</v>
      </c>
      <c r="P122" s="127">
        <f t="shared" si="20"/>
        <v>1</v>
      </c>
    </row>
    <row r="123" spans="1:16" ht="15.75" customHeight="1">
      <c r="A123" s="129"/>
      <c r="B123" s="135" t="s">
        <v>374</v>
      </c>
      <c r="C123" s="74" t="s">
        <v>305</v>
      </c>
      <c r="D123" s="131"/>
      <c r="E123" s="131"/>
      <c r="F123" s="131"/>
      <c r="G123" s="131"/>
      <c r="H123" s="131">
        <v>500</v>
      </c>
      <c r="I123" s="131">
        <v>0</v>
      </c>
      <c r="J123" s="131">
        <v>500</v>
      </c>
      <c r="K123" s="131">
        <v>348</v>
      </c>
      <c r="L123" s="131">
        <v>348</v>
      </c>
      <c r="M123" s="131">
        <v>0</v>
      </c>
      <c r="N123" s="132">
        <f t="shared" si="19"/>
        <v>348</v>
      </c>
      <c r="O123" s="132">
        <v>0</v>
      </c>
      <c r="P123" s="127">
        <v>0</v>
      </c>
    </row>
    <row r="124" spans="1:16" ht="15" customHeight="1">
      <c r="A124" s="140"/>
      <c r="B124" s="130" t="s">
        <v>260</v>
      </c>
      <c r="C124" s="74" t="s">
        <v>305</v>
      </c>
      <c r="D124" s="131">
        <v>60000</v>
      </c>
      <c r="E124" s="131">
        <v>30000</v>
      </c>
      <c r="F124" s="131">
        <v>0</v>
      </c>
      <c r="G124" s="131">
        <v>18656</v>
      </c>
      <c r="H124" s="131">
        <v>12181</v>
      </c>
      <c r="I124" s="131">
        <v>0</v>
      </c>
      <c r="J124" s="131">
        <v>0</v>
      </c>
      <c r="K124" s="131">
        <v>14066</v>
      </c>
      <c r="L124" s="131">
        <v>14066</v>
      </c>
      <c r="M124" s="131">
        <v>0</v>
      </c>
      <c r="N124" s="132">
        <f t="shared" si="19"/>
        <v>14066</v>
      </c>
      <c r="O124" s="132">
        <v>0</v>
      </c>
      <c r="P124" s="127">
        <f aca="true" t="shared" si="21" ref="P124:P158">L124/K124</f>
        <v>1</v>
      </c>
    </row>
    <row r="125" spans="1:16" ht="15" customHeight="1">
      <c r="A125" s="449" t="s">
        <v>307</v>
      </c>
      <c r="B125" s="460"/>
      <c r="C125" s="450" t="s">
        <v>84</v>
      </c>
      <c r="D125" s="451">
        <f>D127</f>
        <v>22000</v>
      </c>
      <c r="E125" s="451">
        <f>E127+E128+E129+E130+E131+E132</f>
        <v>25987</v>
      </c>
      <c r="F125" s="451">
        <f>F127+F128+F129+F130+F131+F132</f>
        <v>0</v>
      </c>
      <c r="G125" s="451">
        <f>G127+G128+G129+G130+G131+G132</f>
        <v>0</v>
      </c>
      <c r="H125" s="451">
        <f>H126+H127+H128+H130+H131+H132</f>
        <v>14177</v>
      </c>
      <c r="I125" s="451">
        <f>I126+I127+I128+I130+I131+I132</f>
        <v>0</v>
      </c>
      <c r="J125" s="451">
        <f>J126+J127+J128+J130+J131+J132</f>
        <v>0</v>
      </c>
      <c r="K125" s="451">
        <f>K126+K127+K128+K129+K130+K131+K132</f>
        <v>13488</v>
      </c>
      <c r="L125" s="451">
        <f>L126+L127+L128+L129+L130+L131+L132</f>
        <v>13488</v>
      </c>
      <c r="M125" s="451">
        <f>M126+M127+M128+M129+M130+M131+M132</f>
        <v>13488</v>
      </c>
      <c r="N125" s="451">
        <f>N126+N127+N128+N129+N130+N131+N132</f>
        <v>0</v>
      </c>
      <c r="O125" s="451">
        <f>O126+O127+O128+O129+O130+O131+O132</f>
        <v>0</v>
      </c>
      <c r="P125" s="452">
        <f t="shared" si="21"/>
        <v>1</v>
      </c>
    </row>
    <row r="126" spans="1:16" ht="15" customHeight="1">
      <c r="A126" s="129"/>
      <c r="B126" s="130" t="s">
        <v>217</v>
      </c>
      <c r="C126" s="74" t="s">
        <v>233</v>
      </c>
      <c r="D126" s="131"/>
      <c r="E126" s="131"/>
      <c r="F126" s="131"/>
      <c r="G126" s="131"/>
      <c r="H126" s="131">
        <v>5842</v>
      </c>
      <c r="I126" s="131">
        <v>0</v>
      </c>
      <c r="J126" s="131">
        <v>0</v>
      </c>
      <c r="K126" s="131">
        <v>7120</v>
      </c>
      <c r="L126" s="131">
        <v>7120</v>
      </c>
      <c r="M126" s="131">
        <f aca="true" t="shared" si="22" ref="M126:M132">L126</f>
        <v>7120</v>
      </c>
      <c r="N126" s="132">
        <v>0</v>
      </c>
      <c r="O126" s="132">
        <v>0</v>
      </c>
      <c r="P126" s="127">
        <f t="shared" si="21"/>
        <v>1</v>
      </c>
    </row>
    <row r="127" spans="1:16" ht="13.5" customHeight="1">
      <c r="A127" s="140"/>
      <c r="B127" s="130" t="s">
        <v>242</v>
      </c>
      <c r="C127" s="74" t="s">
        <v>288</v>
      </c>
      <c r="D127" s="131">
        <v>22000</v>
      </c>
      <c r="E127" s="131">
        <v>963</v>
      </c>
      <c r="F127" s="131">
        <v>0</v>
      </c>
      <c r="G127" s="131">
        <v>0</v>
      </c>
      <c r="H127" s="131">
        <v>465</v>
      </c>
      <c r="I127" s="131">
        <v>0</v>
      </c>
      <c r="J127" s="131">
        <v>0</v>
      </c>
      <c r="K127" s="131">
        <v>560</v>
      </c>
      <c r="L127" s="131">
        <v>560</v>
      </c>
      <c r="M127" s="131">
        <f t="shared" si="22"/>
        <v>560</v>
      </c>
      <c r="N127" s="132">
        <v>0</v>
      </c>
      <c r="O127" s="132">
        <v>0</v>
      </c>
      <c r="P127" s="127">
        <f t="shared" si="21"/>
        <v>1</v>
      </c>
    </row>
    <row r="128" spans="1:16" ht="13.5" customHeight="1">
      <c r="A128" s="140"/>
      <c r="B128" s="130" t="s">
        <v>244</v>
      </c>
      <c r="C128" s="74" t="s">
        <v>245</v>
      </c>
      <c r="D128" s="131"/>
      <c r="E128" s="131">
        <v>132</v>
      </c>
      <c r="F128" s="131">
        <v>0</v>
      </c>
      <c r="G128" s="131">
        <v>0</v>
      </c>
      <c r="H128" s="131">
        <v>66</v>
      </c>
      <c r="I128" s="131">
        <v>0</v>
      </c>
      <c r="J128" s="131">
        <v>0</v>
      </c>
      <c r="K128" s="131">
        <v>80</v>
      </c>
      <c r="L128" s="131">
        <v>80</v>
      </c>
      <c r="M128" s="131">
        <f t="shared" si="22"/>
        <v>80</v>
      </c>
      <c r="N128" s="132">
        <v>0</v>
      </c>
      <c r="O128" s="132">
        <v>0</v>
      </c>
      <c r="P128" s="127">
        <f t="shared" si="21"/>
        <v>1</v>
      </c>
    </row>
    <row r="129" spans="1:16" ht="15.75" customHeight="1">
      <c r="A129" s="140"/>
      <c r="B129" s="130" t="s">
        <v>665</v>
      </c>
      <c r="C129" s="74" t="s">
        <v>666</v>
      </c>
      <c r="D129" s="131"/>
      <c r="E129" s="131">
        <v>16126</v>
      </c>
      <c r="F129" s="131">
        <v>0</v>
      </c>
      <c r="G129" s="131">
        <v>0</v>
      </c>
      <c r="H129" s="131"/>
      <c r="I129" s="131"/>
      <c r="J129" s="131"/>
      <c r="K129" s="131">
        <v>4150</v>
      </c>
      <c r="L129" s="131">
        <v>4150</v>
      </c>
      <c r="M129" s="131">
        <f t="shared" si="22"/>
        <v>4150</v>
      </c>
      <c r="N129" s="132">
        <v>0</v>
      </c>
      <c r="O129" s="132">
        <v>0</v>
      </c>
      <c r="P129" s="127">
        <f t="shared" si="21"/>
        <v>1</v>
      </c>
    </row>
    <row r="130" spans="1:16" ht="14.25" customHeight="1">
      <c r="A130" s="140"/>
      <c r="B130" s="130" t="s">
        <v>225</v>
      </c>
      <c r="C130" s="74" t="s">
        <v>249</v>
      </c>
      <c r="D130" s="131"/>
      <c r="E130" s="131">
        <v>6208</v>
      </c>
      <c r="F130" s="131">
        <v>0</v>
      </c>
      <c r="G130" s="131">
        <v>0</v>
      </c>
      <c r="H130" s="131">
        <v>3642</v>
      </c>
      <c r="I130" s="131">
        <v>0</v>
      </c>
      <c r="J130" s="131">
        <v>0</v>
      </c>
      <c r="K130" s="131">
        <v>878</v>
      </c>
      <c r="L130" s="131">
        <v>878</v>
      </c>
      <c r="M130" s="131">
        <f t="shared" si="22"/>
        <v>878</v>
      </c>
      <c r="N130" s="132">
        <v>0</v>
      </c>
      <c r="O130" s="132">
        <v>0</v>
      </c>
      <c r="P130" s="127">
        <f t="shared" si="21"/>
        <v>1</v>
      </c>
    </row>
    <row r="131" spans="1:16" ht="13.5" customHeight="1">
      <c r="A131" s="140"/>
      <c r="B131" s="130" t="s">
        <v>228</v>
      </c>
      <c r="C131" s="74" t="s">
        <v>229</v>
      </c>
      <c r="D131" s="131"/>
      <c r="E131" s="131">
        <v>2165</v>
      </c>
      <c r="F131" s="131">
        <v>0</v>
      </c>
      <c r="G131" s="131">
        <v>0</v>
      </c>
      <c r="H131" s="131">
        <v>3948</v>
      </c>
      <c r="I131" s="131">
        <v>0</v>
      </c>
      <c r="J131" s="131">
        <v>0</v>
      </c>
      <c r="K131" s="131">
        <v>458</v>
      </c>
      <c r="L131" s="131">
        <v>458</v>
      </c>
      <c r="M131" s="131">
        <f t="shared" si="22"/>
        <v>458</v>
      </c>
      <c r="N131" s="132">
        <v>0</v>
      </c>
      <c r="O131" s="132">
        <v>0</v>
      </c>
      <c r="P131" s="127">
        <f t="shared" si="21"/>
        <v>1</v>
      </c>
    </row>
    <row r="132" spans="1:16" ht="13.5" customHeight="1">
      <c r="A132" s="140"/>
      <c r="B132" s="130" t="s">
        <v>254</v>
      </c>
      <c r="C132" s="74" t="s">
        <v>255</v>
      </c>
      <c r="D132" s="131"/>
      <c r="E132" s="131">
        <v>393</v>
      </c>
      <c r="F132" s="131">
        <v>0</v>
      </c>
      <c r="G132" s="131">
        <v>0</v>
      </c>
      <c r="H132" s="131">
        <v>214</v>
      </c>
      <c r="I132" s="131">
        <v>0</v>
      </c>
      <c r="J132" s="131">
        <v>0</v>
      </c>
      <c r="K132" s="131">
        <v>242</v>
      </c>
      <c r="L132" s="131">
        <v>242</v>
      </c>
      <c r="M132" s="131">
        <f t="shared" si="22"/>
        <v>242</v>
      </c>
      <c r="N132" s="132">
        <v>0</v>
      </c>
      <c r="O132" s="132">
        <v>0</v>
      </c>
      <c r="P132" s="127">
        <f t="shared" si="21"/>
        <v>1</v>
      </c>
    </row>
    <row r="133" spans="1:16" ht="21" customHeight="1">
      <c r="A133" s="449" t="s">
        <v>670</v>
      </c>
      <c r="B133" s="460"/>
      <c r="C133" s="450" t="s">
        <v>671</v>
      </c>
      <c r="D133" s="451" t="e">
        <f>#REF!</f>
        <v>#REF!</v>
      </c>
      <c r="E133" s="451" t="e">
        <f>#REF!+E136</f>
        <v>#REF!</v>
      </c>
      <c r="F133" s="451" t="e">
        <f>#REF!+F136</f>
        <v>#REF!</v>
      </c>
      <c r="G133" s="451" t="e">
        <f>#REF!+G136</f>
        <v>#REF!</v>
      </c>
      <c r="H133" s="451">
        <f>H135+H136+H142</f>
        <v>8900</v>
      </c>
      <c r="I133" s="451">
        <f>I135+I136+I142</f>
        <v>4000</v>
      </c>
      <c r="J133" s="451">
        <f>J135+J136+J142</f>
        <v>1158</v>
      </c>
      <c r="K133" s="451">
        <f>K134+K135+K136+K137</f>
        <v>10818</v>
      </c>
      <c r="L133" s="451">
        <f>L134+L135+L136+L137</f>
        <v>10818</v>
      </c>
      <c r="M133" s="451">
        <f>M134+M135+M136+M137</f>
        <v>0</v>
      </c>
      <c r="N133" s="451">
        <f>N134+N135+N136+N137</f>
        <v>8818</v>
      </c>
      <c r="O133" s="451">
        <f>O134+O135+O136+O137</f>
        <v>2000</v>
      </c>
      <c r="P133" s="452">
        <f t="shared" si="21"/>
        <v>1</v>
      </c>
    </row>
    <row r="134" spans="1:16" ht="15" customHeight="1">
      <c r="A134" s="140"/>
      <c r="B134" s="130" t="s">
        <v>230</v>
      </c>
      <c r="C134" s="74" t="s">
        <v>410</v>
      </c>
      <c r="D134" s="131"/>
      <c r="E134" s="131"/>
      <c r="F134" s="131"/>
      <c r="G134" s="131"/>
      <c r="H134" s="131"/>
      <c r="I134" s="131"/>
      <c r="J134" s="131"/>
      <c r="K134" s="131">
        <v>2000</v>
      </c>
      <c r="L134" s="131">
        <v>2000</v>
      </c>
      <c r="M134" s="131">
        <v>0</v>
      </c>
      <c r="N134" s="132">
        <v>0</v>
      </c>
      <c r="O134" s="132">
        <f>L134</f>
        <v>2000</v>
      </c>
      <c r="P134" s="127">
        <f t="shared" si="21"/>
        <v>1</v>
      </c>
    </row>
    <row r="135" spans="1:16" ht="13.5" customHeight="1">
      <c r="A135" s="140"/>
      <c r="B135" s="130" t="s">
        <v>665</v>
      </c>
      <c r="C135" s="74" t="s">
        <v>666</v>
      </c>
      <c r="D135" s="131"/>
      <c r="E135" s="131"/>
      <c r="F135" s="131"/>
      <c r="G135" s="131"/>
      <c r="H135" s="131">
        <v>800</v>
      </c>
      <c r="I135" s="131">
        <v>0</v>
      </c>
      <c r="J135" s="131">
        <v>720</v>
      </c>
      <c r="K135" s="131">
        <v>1850</v>
      </c>
      <c r="L135" s="131">
        <v>1850</v>
      </c>
      <c r="M135" s="132">
        <v>0</v>
      </c>
      <c r="N135" s="132">
        <f>L135</f>
        <v>1850</v>
      </c>
      <c r="O135" s="132">
        <v>0</v>
      </c>
      <c r="P135" s="127">
        <f t="shared" si="21"/>
        <v>1</v>
      </c>
    </row>
    <row r="136" spans="1:16" ht="14.25" customHeight="1">
      <c r="A136" s="140"/>
      <c r="B136" s="130" t="s">
        <v>225</v>
      </c>
      <c r="C136" s="74" t="s">
        <v>249</v>
      </c>
      <c r="D136" s="131"/>
      <c r="E136" s="131">
        <v>7000</v>
      </c>
      <c r="F136" s="131">
        <v>0</v>
      </c>
      <c r="G136" s="131">
        <v>0</v>
      </c>
      <c r="H136" s="131">
        <v>8100</v>
      </c>
      <c r="I136" s="131">
        <v>0</v>
      </c>
      <c r="J136" s="131">
        <v>438</v>
      </c>
      <c r="K136" s="131">
        <v>3489</v>
      </c>
      <c r="L136" s="131">
        <v>3489</v>
      </c>
      <c r="M136" s="131">
        <v>0</v>
      </c>
      <c r="N136" s="132">
        <f>L136</f>
        <v>3489</v>
      </c>
      <c r="O136" s="132">
        <v>0</v>
      </c>
      <c r="P136" s="127">
        <f t="shared" si="21"/>
        <v>1</v>
      </c>
    </row>
    <row r="137" spans="1:16" ht="14.25" customHeight="1">
      <c r="A137" s="129"/>
      <c r="B137" s="130" t="s">
        <v>228</v>
      </c>
      <c r="C137" s="74" t="s">
        <v>229</v>
      </c>
      <c r="D137" s="138"/>
      <c r="E137" s="138"/>
      <c r="F137" s="138"/>
      <c r="G137" s="138"/>
      <c r="H137" s="138" t="e">
        <f>H138</f>
        <v>#REF!</v>
      </c>
      <c r="I137" s="138" t="e">
        <f>I138</f>
        <v>#REF!</v>
      </c>
      <c r="J137" s="138" t="e">
        <f>J138</f>
        <v>#REF!</v>
      </c>
      <c r="K137" s="131">
        <v>3479</v>
      </c>
      <c r="L137" s="131">
        <v>3479</v>
      </c>
      <c r="M137" s="131">
        <f>M138</f>
        <v>0</v>
      </c>
      <c r="N137" s="132">
        <f>L137</f>
        <v>3479</v>
      </c>
      <c r="O137" s="131">
        <f>O138</f>
        <v>0</v>
      </c>
      <c r="P137" s="127">
        <f t="shared" si="21"/>
        <v>1</v>
      </c>
    </row>
    <row r="138" spans="1:16" ht="21" customHeight="1">
      <c r="A138" s="449" t="s">
        <v>283</v>
      </c>
      <c r="B138" s="460" t="s">
        <v>89</v>
      </c>
      <c r="C138" s="450" t="s">
        <v>33</v>
      </c>
      <c r="D138" s="451"/>
      <c r="E138" s="451"/>
      <c r="F138" s="451"/>
      <c r="G138" s="451"/>
      <c r="H138" s="451" t="e">
        <f>H139+H140+H141+#REF!</f>
        <v>#REF!</v>
      </c>
      <c r="I138" s="451" t="e">
        <f>I139+I140+I141+#REF!</f>
        <v>#REF!</v>
      </c>
      <c r="J138" s="451" t="e">
        <f>J139+J140+J141+#REF!</f>
        <v>#REF!</v>
      </c>
      <c r="K138" s="451">
        <f>K139+K140+K141+K142</f>
        <v>11293</v>
      </c>
      <c r="L138" s="451">
        <f>L139+L140+L141+L142</f>
        <v>11293</v>
      </c>
      <c r="M138" s="451">
        <f>M139+M140+M141+M142</f>
        <v>0</v>
      </c>
      <c r="N138" s="451">
        <f>N139+N140+N141+N142</f>
        <v>11293</v>
      </c>
      <c r="O138" s="451">
        <f>O139+O140+O141+O142</f>
        <v>0</v>
      </c>
      <c r="P138" s="452">
        <f t="shared" si="21"/>
        <v>1</v>
      </c>
    </row>
    <row r="139" spans="1:16" ht="13.5" customHeight="1">
      <c r="A139" s="140"/>
      <c r="B139" s="130" t="s">
        <v>665</v>
      </c>
      <c r="C139" s="74" t="s">
        <v>666</v>
      </c>
      <c r="D139" s="131"/>
      <c r="E139" s="131"/>
      <c r="F139" s="131"/>
      <c r="G139" s="131"/>
      <c r="H139" s="131">
        <v>0</v>
      </c>
      <c r="I139" s="131">
        <v>0</v>
      </c>
      <c r="J139" s="131">
        <v>0</v>
      </c>
      <c r="K139" s="131">
        <v>980</v>
      </c>
      <c r="L139" s="131">
        <v>980</v>
      </c>
      <c r="M139" s="131"/>
      <c r="N139" s="132">
        <f>L139</f>
        <v>980</v>
      </c>
      <c r="O139" s="132">
        <v>0</v>
      </c>
      <c r="P139" s="127">
        <f t="shared" si="21"/>
        <v>1</v>
      </c>
    </row>
    <row r="140" spans="1:16" ht="13.5" customHeight="1">
      <c r="A140" s="140"/>
      <c r="B140" s="130" t="s">
        <v>225</v>
      </c>
      <c r="C140" s="74" t="s">
        <v>226</v>
      </c>
      <c r="D140" s="131"/>
      <c r="E140" s="131"/>
      <c r="F140" s="131"/>
      <c r="G140" s="131"/>
      <c r="H140" s="131">
        <v>0</v>
      </c>
      <c r="I140" s="131">
        <v>0</v>
      </c>
      <c r="J140" s="131">
        <v>0</v>
      </c>
      <c r="K140" s="131">
        <v>279</v>
      </c>
      <c r="L140" s="131">
        <v>279</v>
      </c>
      <c r="M140" s="131"/>
      <c r="N140" s="132">
        <f>L140</f>
        <v>279</v>
      </c>
      <c r="O140" s="132">
        <v>0</v>
      </c>
      <c r="P140" s="127">
        <f t="shared" si="21"/>
        <v>1</v>
      </c>
    </row>
    <row r="141" spans="1:16" ht="12.75" customHeight="1">
      <c r="A141" s="140"/>
      <c r="B141" s="130" t="s">
        <v>228</v>
      </c>
      <c r="C141" s="74" t="s">
        <v>290</v>
      </c>
      <c r="D141" s="131"/>
      <c r="E141" s="131"/>
      <c r="F141" s="131"/>
      <c r="G141" s="131"/>
      <c r="H141" s="131">
        <v>0</v>
      </c>
      <c r="I141" s="131">
        <v>0</v>
      </c>
      <c r="J141" s="131">
        <v>0</v>
      </c>
      <c r="K141" s="131">
        <v>165</v>
      </c>
      <c r="L141" s="131">
        <v>165</v>
      </c>
      <c r="M141" s="131"/>
      <c r="N141" s="132">
        <f>L141</f>
        <v>165</v>
      </c>
      <c r="O141" s="132">
        <v>0</v>
      </c>
      <c r="P141" s="127">
        <f t="shared" si="21"/>
        <v>1</v>
      </c>
    </row>
    <row r="142" spans="1:16" ht="12.75" customHeight="1">
      <c r="A142" s="140"/>
      <c r="B142" s="130" t="s">
        <v>219</v>
      </c>
      <c r="C142" s="74" t="s">
        <v>220</v>
      </c>
      <c r="D142" s="131"/>
      <c r="E142" s="131"/>
      <c r="F142" s="131"/>
      <c r="G142" s="131"/>
      <c r="H142" s="131">
        <v>0</v>
      </c>
      <c r="I142" s="131">
        <v>4000</v>
      </c>
      <c r="J142" s="131">
        <v>0</v>
      </c>
      <c r="K142" s="131">
        <v>9869</v>
      </c>
      <c r="L142" s="131">
        <v>9869</v>
      </c>
      <c r="M142" s="131"/>
      <c r="N142" s="132">
        <f>L142</f>
        <v>9869</v>
      </c>
      <c r="O142" s="132">
        <v>0</v>
      </c>
      <c r="P142" s="127">
        <f t="shared" si="21"/>
        <v>1</v>
      </c>
    </row>
    <row r="143" spans="1:16" ht="23.25" customHeight="1">
      <c r="A143" s="431" t="s">
        <v>308</v>
      </c>
      <c r="B143" s="435"/>
      <c r="C143" s="436" t="s">
        <v>309</v>
      </c>
      <c r="D143" s="433" t="e">
        <f>#REF!+D146</f>
        <v>#REF!</v>
      </c>
      <c r="E143" s="433" t="e">
        <f>#REF!+E146</f>
        <v>#REF!</v>
      </c>
      <c r="F143" s="433" t="e">
        <f>#REF!+F146</f>
        <v>#REF!</v>
      </c>
      <c r="G143" s="433" t="e">
        <f>#REF!+G146</f>
        <v>#REF!</v>
      </c>
      <c r="H143" s="433" t="e">
        <f>#REF!+H146</f>
        <v>#REF!</v>
      </c>
      <c r="I143" s="433" t="e">
        <f>#REF!+I146</f>
        <v>#REF!</v>
      </c>
      <c r="J143" s="433" t="e">
        <f>#REF!+J146</f>
        <v>#REF!</v>
      </c>
      <c r="K143" s="433">
        <f>K144+K146+K171</f>
        <v>2140000</v>
      </c>
      <c r="L143" s="433">
        <f>L144+L146+L171</f>
        <v>2139995</v>
      </c>
      <c r="M143" s="433">
        <f>M144+M146+M171</f>
        <v>2050995</v>
      </c>
      <c r="N143" s="433">
        <f>N144+N146+N171</f>
        <v>89000</v>
      </c>
      <c r="O143" s="433">
        <f>O144+O146+O171</f>
        <v>0</v>
      </c>
      <c r="P143" s="430">
        <f t="shared" si="21"/>
        <v>0.9999976635514018</v>
      </c>
    </row>
    <row r="144" spans="1:16" ht="18.75" customHeight="1">
      <c r="A144" s="449" t="s">
        <v>482</v>
      </c>
      <c r="B144" s="460"/>
      <c r="C144" s="450" t="s">
        <v>673</v>
      </c>
      <c r="D144" s="451"/>
      <c r="E144" s="451"/>
      <c r="F144" s="451"/>
      <c r="G144" s="451"/>
      <c r="H144" s="451"/>
      <c r="I144" s="451"/>
      <c r="J144" s="451"/>
      <c r="K144" s="451">
        <f>K145</f>
        <v>5000</v>
      </c>
      <c r="L144" s="451">
        <f>L145</f>
        <v>5000</v>
      </c>
      <c r="M144" s="451">
        <f>M145</f>
        <v>5000</v>
      </c>
      <c r="N144" s="451">
        <f>N145</f>
        <v>0</v>
      </c>
      <c r="O144" s="451">
        <f>O145</f>
        <v>0</v>
      </c>
      <c r="P144" s="452">
        <f t="shared" si="21"/>
        <v>1</v>
      </c>
    </row>
    <row r="145" spans="1:16" ht="33.75" customHeight="1">
      <c r="A145" s="129"/>
      <c r="B145" s="130" t="s">
        <v>674</v>
      </c>
      <c r="C145" s="74" t="s">
        <v>675</v>
      </c>
      <c r="D145" s="138"/>
      <c r="E145" s="138"/>
      <c r="F145" s="138"/>
      <c r="G145" s="138"/>
      <c r="H145" s="138"/>
      <c r="I145" s="138"/>
      <c r="J145" s="138"/>
      <c r="K145" s="131">
        <v>5000</v>
      </c>
      <c r="L145" s="131">
        <v>5000</v>
      </c>
      <c r="M145" s="131">
        <f>L145</f>
        <v>5000</v>
      </c>
      <c r="N145" s="132">
        <v>0</v>
      </c>
      <c r="O145" s="132">
        <v>0</v>
      </c>
      <c r="P145" s="127">
        <f t="shared" si="21"/>
        <v>1</v>
      </c>
    </row>
    <row r="146" spans="1:16" ht="15" customHeight="1">
      <c r="A146" s="449" t="s">
        <v>94</v>
      </c>
      <c r="B146" s="460"/>
      <c r="C146" s="450" t="s">
        <v>310</v>
      </c>
      <c r="D146" s="451">
        <f>D148+D149+D150+D151+D152+D153+D154+D155</f>
        <v>2662024</v>
      </c>
      <c r="E146" s="451" t="e">
        <f>E148+E149+E150+E151+E152+E153+E154+E155+#REF!+E158+E159+E160+E161+E163+E164+E165+E166+E167+E169+#REF!+E168</f>
        <v>#REF!</v>
      </c>
      <c r="F146" s="451" t="e">
        <f>F148+F149+F150+F151+F152+F153+F154+F155+#REF!+F158+F160+F161+F163+F164+F166+F167+F169+#REF!+F168</f>
        <v>#REF!</v>
      </c>
      <c r="G146" s="451" t="e">
        <f>G148+G149+G150+G151+G152+G153+G154+G155+#REF!+G158+G160+G161+G163+G164+G166+G167+G169+#REF!+G168</f>
        <v>#REF!</v>
      </c>
      <c r="H146" s="451" t="e">
        <f>H148+H149+H150+H151+H152+H153+H154+H155+#REF!+H158+H159+H160+H161+H163+H164+H165+H167+H168+H169+#REF!+#REF!</f>
        <v>#REF!</v>
      </c>
      <c r="I146" s="451" t="e">
        <f>I148+I149+I150+I151+I152+I153+I154+I155+#REF!+I158+I159+I160+I161+I163+I164+I165+I167+I168+I169+#REF!+#REF!</f>
        <v>#REF!</v>
      </c>
      <c r="J146" s="451" t="e">
        <f>J148+J149+J150+J151+J152+J153+J154+J155+#REF!+J158+J159+J160+J161+J163+J164+J165+J167+J168+J169+#REF!+#REF!</f>
        <v>#REF!</v>
      </c>
      <c r="K146" s="451">
        <f>K147+K148+K149+K150+K151+K152+K154+K155+K156+K157+K158+K159+K160+K161+K162+K163+K164+K165+K167+K168+K169+K170</f>
        <v>2116000</v>
      </c>
      <c r="L146" s="451">
        <f>L147+L148+L149+L150+L151+L152+L154+L155+L156+L157+L158+L159+L160+L161+L162+L163+L164+L165+L167+L168+L169+L170</f>
        <v>2116000</v>
      </c>
      <c r="M146" s="451">
        <f>M147+M148+M149+M150+M151+M152+M154+M155+M156+M157+M158+M159+M160+M161+M162+M163+M164+M165+M167+M168+M169+M170</f>
        <v>2027000</v>
      </c>
      <c r="N146" s="451">
        <f>N147+N148+N149+N150+N151+N152+N154+N155+N156+N157+N158+N159+N160+N161+N162+N163+N164+N165+N167+N168+N169+N170</f>
        <v>89000</v>
      </c>
      <c r="O146" s="451">
        <f>O147+O148+O149+O150+O151+O152+O154+O155+O156+O157+O158+O159+O160+O161+O162+O163+O164+O165+O167+O168+O169+O170</f>
        <v>0</v>
      </c>
      <c r="P146" s="452">
        <f t="shared" si="21"/>
        <v>1</v>
      </c>
    </row>
    <row r="147" spans="1:16" ht="21.75" customHeight="1">
      <c r="A147" s="140"/>
      <c r="B147" s="130" t="s">
        <v>676</v>
      </c>
      <c r="C147" s="74" t="s">
        <v>677</v>
      </c>
      <c r="D147" s="131"/>
      <c r="E147" s="131"/>
      <c r="F147" s="131"/>
      <c r="G147" s="131"/>
      <c r="H147" s="131"/>
      <c r="I147" s="131"/>
      <c r="J147" s="131"/>
      <c r="K147" s="131">
        <v>125416</v>
      </c>
      <c r="L147" s="131">
        <v>125416</v>
      </c>
      <c r="M147" s="131">
        <f aca="true" t="shared" si="23" ref="M147:M157">L147</f>
        <v>125416</v>
      </c>
      <c r="N147" s="131">
        <v>0</v>
      </c>
      <c r="O147" s="131">
        <v>0</v>
      </c>
      <c r="P147" s="127">
        <f t="shared" si="21"/>
        <v>1</v>
      </c>
    </row>
    <row r="148" spans="1:16" ht="16.5" customHeight="1">
      <c r="A148" s="140"/>
      <c r="B148" s="130" t="s">
        <v>278</v>
      </c>
      <c r="C148" s="74" t="s">
        <v>311</v>
      </c>
      <c r="D148" s="131">
        <v>15218</v>
      </c>
      <c r="E148" s="131">
        <v>14500</v>
      </c>
      <c r="F148" s="131">
        <v>1000</v>
      </c>
      <c r="G148" s="131">
        <v>0</v>
      </c>
      <c r="H148" s="131">
        <v>17000</v>
      </c>
      <c r="I148" s="131">
        <v>0</v>
      </c>
      <c r="J148" s="131">
        <v>0</v>
      </c>
      <c r="K148" s="131">
        <v>19470</v>
      </c>
      <c r="L148" s="131">
        <v>19470</v>
      </c>
      <c r="M148" s="131">
        <f t="shared" si="23"/>
        <v>19470</v>
      </c>
      <c r="N148" s="132">
        <v>0</v>
      </c>
      <c r="O148" s="132">
        <v>0</v>
      </c>
      <c r="P148" s="127">
        <f t="shared" si="21"/>
        <v>1</v>
      </c>
    </row>
    <row r="149" spans="1:16" ht="16.5" customHeight="1">
      <c r="A149" s="140"/>
      <c r="B149" s="130" t="s">
        <v>240</v>
      </c>
      <c r="C149" s="74" t="s">
        <v>241</v>
      </c>
      <c r="D149" s="131">
        <v>782</v>
      </c>
      <c r="E149" s="131">
        <v>1200</v>
      </c>
      <c r="F149" s="131">
        <v>0</v>
      </c>
      <c r="G149" s="131">
        <v>14</v>
      </c>
      <c r="H149" s="131">
        <v>1415</v>
      </c>
      <c r="I149" s="131">
        <v>0</v>
      </c>
      <c r="J149" s="131">
        <v>0</v>
      </c>
      <c r="K149" s="131">
        <v>1530</v>
      </c>
      <c r="L149" s="131">
        <v>1530</v>
      </c>
      <c r="M149" s="131">
        <f t="shared" si="23"/>
        <v>1530</v>
      </c>
      <c r="N149" s="132">
        <v>0</v>
      </c>
      <c r="O149" s="132">
        <v>0</v>
      </c>
      <c r="P149" s="127">
        <f t="shared" si="21"/>
        <v>1</v>
      </c>
    </row>
    <row r="150" spans="1:16" ht="15.75" customHeight="1">
      <c r="A150" s="140"/>
      <c r="B150" s="130" t="s">
        <v>312</v>
      </c>
      <c r="C150" s="74" t="s">
        <v>313</v>
      </c>
      <c r="D150" s="131">
        <v>1635532</v>
      </c>
      <c r="E150" s="131">
        <v>1917450</v>
      </c>
      <c r="F150" s="131">
        <v>0</v>
      </c>
      <c r="G150" s="131">
        <v>0</v>
      </c>
      <c r="H150" s="131">
        <v>1132033</v>
      </c>
      <c r="I150" s="131">
        <v>0</v>
      </c>
      <c r="J150" s="131">
        <v>0</v>
      </c>
      <c r="K150" s="131">
        <v>1245000</v>
      </c>
      <c r="L150" s="131">
        <v>1245000</v>
      </c>
      <c r="M150" s="131">
        <f t="shared" si="23"/>
        <v>1245000</v>
      </c>
      <c r="N150" s="132">
        <v>0</v>
      </c>
      <c r="O150" s="132">
        <v>0</v>
      </c>
      <c r="P150" s="127">
        <f t="shared" si="21"/>
        <v>1</v>
      </c>
    </row>
    <row r="151" spans="1:16" ht="15" customHeight="1">
      <c r="A151" s="140"/>
      <c r="B151" s="130" t="s">
        <v>314</v>
      </c>
      <c r="C151" s="74" t="s">
        <v>315</v>
      </c>
      <c r="D151" s="131">
        <v>15859</v>
      </c>
      <c r="E151" s="131">
        <v>46700</v>
      </c>
      <c r="F151" s="131">
        <v>0</v>
      </c>
      <c r="G151" s="131">
        <v>0</v>
      </c>
      <c r="H151" s="131">
        <v>4852</v>
      </c>
      <c r="I151" s="131">
        <v>0</v>
      </c>
      <c r="J151" s="131">
        <v>0</v>
      </c>
      <c r="K151" s="131">
        <v>56668</v>
      </c>
      <c r="L151" s="131">
        <v>56668</v>
      </c>
      <c r="M151" s="131">
        <f t="shared" si="23"/>
        <v>56668</v>
      </c>
      <c r="N151" s="132">
        <v>0</v>
      </c>
      <c r="O151" s="132">
        <v>0</v>
      </c>
      <c r="P151" s="127">
        <f t="shared" si="21"/>
        <v>1</v>
      </c>
    </row>
    <row r="152" spans="1:16" ht="15.75" customHeight="1">
      <c r="A152" s="140"/>
      <c r="B152" s="130" t="s">
        <v>316</v>
      </c>
      <c r="C152" s="74" t="s">
        <v>317</v>
      </c>
      <c r="D152" s="131">
        <v>96233</v>
      </c>
      <c r="E152" s="131">
        <v>146640</v>
      </c>
      <c r="F152" s="131">
        <v>0</v>
      </c>
      <c r="G152" s="131">
        <v>15640</v>
      </c>
      <c r="H152" s="131">
        <v>82891</v>
      </c>
      <c r="I152" s="131">
        <v>0</v>
      </c>
      <c r="J152" s="131">
        <v>0</v>
      </c>
      <c r="K152" s="131">
        <v>96001</v>
      </c>
      <c r="L152" s="131">
        <v>96001</v>
      </c>
      <c r="M152" s="131">
        <f t="shared" si="23"/>
        <v>96001</v>
      </c>
      <c r="N152" s="132">
        <v>0</v>
      </c>
      <c r="O152" s="132">
        <v>0</v>
      </c>
      <c r="P152" s="127">
        <f t="shared" si="21"/>
        <v>1</v>
      </c>
    </row>
    <row r="153" spans="1:16" ht="21.75" customHeight="1" hidden="1">
      <c r="A153" s="140"/>
      <c r="B153" s="130" t="s">
        <v>318</v>
      </c>
      <c r="C153" s="74" t="s">
        <v>319</v>
      </c>
      <c r="D153" s="131">
        <v>15000</v>
      </c>
      <c r="E153" s="131">
        <v>25000</v>
      </c>
      <c r="F153" s="131">
        <v>0</v>
      </c>
      <c r="G153" s="131">
        <v>21800</v>
      </c>
      <c r="H153" s="131">
        <v>0</v>
      </c>
      <c r="I153" s="131">
        <v>0</v>
      </c>
      <c r="J153" s="131">
        <v>0</v>
      </c>
      <c r="K153" s="131">
        <f>H153+I153-J153</f>
        <v>0</v>
      </c>
      <c r="L153" s="131"/>
      <c r="M153" s="131">
        <f t="shared" si="23"/>
        <v>0</v>
      </c>
      <c r="N153" s="132">
        <v>0</v>
      </c>
      <c r="O153" s="132">
        <v>0</v>
      </c>
      <c r="P153" s="127" t="e">
        <f t="shared" si="21"/>
        <v>#DIV/0!</v>
      </c>
    </row>
    <row r="154" spans="1:16" ht="18" customHeight="1">
      <c r="A154" s="140"/>
      <c r="B154" s="135" t="s">
        <v>280</v>
      </c>
      <c r="C154" s="74" t="s">
        <v>288</v>
      </c>
      <c r="D154" s="131">
        <v>39438</v>
      </c>
      <c r="E154" s="131">
        <v>71560</v>
      </c>
      <c r="F154" s="131">
        <v>0</v>
      </c>
      <c r="G154" s="131">
        <v>26000</v>
      </c>
      <c r="H154" s="131">
        <v>30301</v>
      </c>
      <c r="I154" s="131">
        <v>0</v>
      </c>
      <c r="J154" s="131">
        <v>0</v>
      </c>
      <c r="K154" s="131">
        <v>3788</v>
      </c>
      <c r="L154" s="131">
        <v>3788</v>
      </c>
      <c r="M154" s="131">
        <f t="shared" si="23"/>
        <v>3788</v>
      </c>
      <c r="N154" s="132">
        <v>0</v>
      </c>
      <c r="O154" s="132">
        <v>0</v>
      </c>
      <c r="P154" s="127">
        <f t="shared" si="21"/>
        <v>1</v>
      </c>
    </row>
    <row r="155" spans="1:16" ht="15.75" customHeight="1">
      <c r="A155" s="140"/>
      <c r="B155" s="130" t="s">
        <v>244</v>
      </c>
      <c r="C155" s="74" t="s">
        <v>245</v>
      </c>
      <c r="D155" s="131">
        <v>843962</v>
      </c>
      <c r="E155" s="131">
        <v>12030</v>
      </c>
      <c r="F155" s="131">
        <v>0</v>
      </c>
      <c r="G155" s="131">
        <v>5000</v>
      </c>
      <c r="H155" s="131">
        <v>4507</v>
      </c>
      <c r="I155" s="131">
        <v>0</v>
      </c>
      <c r="J155" s="131">
        <v>0</v>
      </c>
      <c r="K155" s="131">
        <v>510</v>
      </c>
      <c r="L155" s="131">
        <v>510</v>
      </c>
      <c r="M155" s="131">
        <f t="shared" si="23"/>
        <v>510</v>
      </c>
      <c r="N155" s="132">
        <v>0</v>
      </c>
      <c r="O155" s="132">
        <v>0</v>
      </c>
      <c r="P155" s="127">
        <f t="shared" si="21"/>
        <v>1</v>
      </c>
    </row>
    <row r="156" spans="1:16" ht="15.75" customHeight="1">
      <c r="A156" s="140"/>
      <c r="B156" s="130" t="s">
        <v>665</v>
      </c>
      <c r="C156" s="74" t="s">
        <v>666</v>
      </c>
      <c r="D156" s="131"/>
      <c r="E156" s="131"/>
      <c r="F156" s="131"/>
      <c r="G156" s="131"/>
      <c r="H156" s="131"/>
      <c r="I156" s="131"/>
      <c r="J156" s="131"/>
      <c r="K156" s="131">
        <v>1950</v>
      </c>
      <c r="L156" s="131">
        <v>1950</v>
      </c>
      <c r="M156" s="131">
        <f t="shared" si="23"/>
        <v>1950</v>
      </c>
      <c r="N156" s="132">
        <v>0</v>
      </c>
      <c r="O156" s="132"/>
      <c r="P156" s="127">
        <f t="shared" si="21"/>
        <v>1</v>
      </c>
    </row>
    <row r="157" spans="1:16" ht="15.75" customHeight="1">
      <c r="A157" s="140"/>
      <c r="B157" s="130" t="s">
        <v>678</v>
      </c>
      <c r="C157" s="74" t="s">
        <v>679</v>
      </c>
      <c r="D157" s="131"/>
      <c r="E157" s="131"/>
      <c r="F157" s="131"/>
      <c r="G157" s="131"/>
      <c r="H157" s="131"/>
      <c r="I157" s="131"/>
      <c r="J157" s="131"/>
      <c r="K157" s="131">
        <v>76798</v>
      </c>
      <c r="L157" s="131">
        <v>76798</v>
      </c>
      <c r="M157" s="131">
        <f t="shared" si="23"/>
        <v>76798</v>
      </c>
      <c r="N157" s="132">
        <v>0</v>
      </c>
      <c r="O157" s="132"/>
      <c r="P157" s="127">
        <f t="shared" si="21"/>
        <v>1</v>
      </c>
    </row>
    <row r="158" spans="1:16" ht="15.75" customHeight="1">
      <c r="A158" s="140"/>
      <c r="B158" s="130" t="s">
        <v>225</v>
      </c>
      <c r="C158" s="74" t="s">
        <v>226</v>
      </c>
      <c r="D158" s="131"/>
      <c r="E158" s="131">
        <v>296300</v>
      </c>
      <c r="F158" s="131">
        <v>62410</v>
      </c>
      <c r="G158" s="131">
        <v>0</v>
      </c>
      <c r="H158" s="131">
        <v>169689</v>
      </c>
      <c r="I158" s="131">
        <v>0</v>
      </c>
      <c r="J158" s="131">
        <v>27664</v>
      </c>
      <c r="K158" s="131">
        <v>291377</v>
      </c>
      <c r="L158" s="131">
        <v>291377</v>
      </c>
      <c r="M158" s="131">
        <v>267377</v>
      </c>
      <c r="N158" s="132">
        <f>L158-M158</f>
        <v>24000</v>
      </c>
      <c r="O158" s="132">
        <v>0</v>
      </c>
      <c r="P158" s="127">
        <f t="shared" si="21"/>
        <v>1</v>
      </c>
    </row>
    <row r="159" spans="1:16" ht="16.5" customHeight="1">
      <c r="A159" s="140"/>
      <c r="B159" s="130" t="s">
        <v>322</v>
      </c>
      <c r="C159" s="74" t="s">
        <v>323</v>
      </c>
      <c r="D159" s="131"/>
      <c r="E159" s="131">
        <v>0</v>
      </c>
      <c r="F159" s="131"/>
      <c r="G159" s="131"/>
      <c r="H159" s="131">
        <v>174969</v>
      </c>
      <c r="I159" s="131">
        <v>8631</v>
      </c>
      <c r="J159" s="131">
        <v>0</v>
      </c>
      <c r="K159" s="131">
        <v>33624</v>
      </c>
      <c r="L159" s="131">
        <v>33624</v>
      </c>
      <c r="M159" s="131">
        <v>28624</v>
      </c>
      <c r="N159" s="132">
        <f>L159-M159</f>
        <v>5000</v>
      </c>
      <c r="O159" s="132">
        <v>0</v>
      </c>
      <c r="P159" s="127">
        <f aca="true" t="shared" si="24" ref="P159:P193">L159/K159</f>
        <v>1</v>
      </c>
    </row>
    <row r="160" spans="1:16" ht="15.75" customHeight="1">
      <c r="A160" s="140"/>
      <c r="B160" s="130" t="s">
        <v>250</v>
      </c>
      <c r="C160" s="74" t="s">
        <v>266</v>
      </c>
      <c r="D160" s="131"/>
      <c r="E160" s="131">
        <v>25000</v>
      </c>
      <c r="F160" s="131">
        <v>0</v>
      </c>
      <c r="G160" s="131">
        <v>5100</v>
      </c>
      <c r="H160" s="131">
        <v>14500</v>
      </c>
      <c r="I160" s="131">
        <v>0</v>
      </c>
      <c r="J160" s="131">
        <v>0</v>
      </c>
      <c r="K160" s="131">
        <v>16828</v>
      </c>
      <c r="L160" s="131">
        <v>16828</v>
      </c>
      <c r="M160" s="131">
        <f aca="true" t="shared" si="25" ref="M160:M172">L160</f>
        <v>16828</v>
      </c>
      <c r="N160" s="132">
        <v>0</v>
      </c>
      <c r="O160" s="132">
        <v>0</v>
      </c>
      <c r="P160" s="127">
        <f t="shared" si="24"/>
        <v>1</v>
      </c>
    </row>
    <row r="161" spans="1:16" ht="17.25" customHeight="1">
      <c r="A161" s="140"/>
      <c r="B161" s="130" t="s">
        <v>252</v>
      </c>
      <c r="C161" s="74" t="s">
        <v>324</v>
      </c>
      <c r="D161" s="131"/>
      <c r="E161" s="131">
        <v>10000</v>
      </c>
      <c r="F161" s="131">
        <v>5000</v>
      </c>
      <c r="G161" s="131">
        <v>0</v>
      </c>
      <c r="H161" s="131">
        <v>8000</v>
      </c>
      <c r="I161" s="131">
        <v>30078</v>
      </c>
      <c r="J161" s="131">
        <v>0</v>
      </c>
      <c r="K161" s="131">
        <v>13154</v>
      </c>
      <c r="L161" s="131">
        <v>13154</v>
      </c>
      <c r="M161" s="131">
        <f t="shared" si="25"/>
        <v>13154</v>
      </c>
      <c r="N161" s="132">
        <v>0</v>
      </c>
      <c r="O161" s="132">
        <v>0</v>
      </c>
      <c r="P161" s="127">
        <f t="shared" si="24"/>
        <v>1</v>
      </c>
    </row>
    <row r="162" spans="1:16" ht="17.25" customHeight="1">
      <c r="A162" s="140"/>
      <c r="B162" s="130" t="s">
        <v>325</v>
      </c>
      <c r="C162" s="74" t="s">
        <v>326</v>
      </c>
      <c r="D162" s="131"/>
      <c r="E162" s="131"/>
      <c r="F162" s="131"/>
      <c r="G162" s="131"/>
      <c r="H162" s="131"/>
      <c r="I162" s="131"/>
      <c r="J162" s="131"/>
      <c r="K162" s="131">
        <v>5153</v>
      </c>
      <c r="L162" s="131">
        <v>5153</v>
      </c>
      <c r="M162" s="131">
        <f t="shared" si="25"/>
        <v>5153</v>
      </c>
      <c r="N162" s="132">
        <v>0</v>
      </c>
      <c r="O162" s="132">
        <v>0</v>
      </c>
      <c r="P162" s="127">
        <f t="shared" si="24"/>
        <v>1</v>
      </c>
    </row>
    <row r="163" spans="1:16" ht="17.25" customHeight="1">
      <c r="A163" s="140"/>
      <c r="B163" s="130" t="s">
        <v>228</v>
      </c>
      <c r="C163" s="74" t="s">
        <v>290</v>
      </c>
      <c r="D163" s="131"/>
      <c r="E163" s="131">
        <v>58800</v>
      </c>
      <c r="F163" s="131">
        <v>10000</v>
      </c>
      <c r="G163" s="131">
        <v>0</v>
      </c>
      <c r="H163" s="131">
        <v>58300</v>
      </c>
      <c r="I163" s="131">
        <v>0</v>
      </c>
      <c r="J163" s="131">
        <v>191</v>
      </c>
      <c r="K163" s="131">
        <v>46740</v>
      </c>
      <c r="L163" s="131">
        <v>46740</v>
      </c>
      <c r="M163" s="131">
        <f t="shared" si="25"/>
        <v>46740</v>
      </c>
      <c r="N163" s="132">
        <v>0</v>
      </c>
      <c r="O163" s="132">
        <v>0</v>
      </c>
      <c r="P163" s="127">
        <f t="shared" si="24"/>
        <v>1</v>
      </c>
    </row>
    <row r="164" spans="1:16" ht="14.25" customHeight="1">
      <c r="A164" s="140"/>
      <c r="B164" s="130" t="s">
        <v>254</v>
      </c>
      <c r="C164" s="74" t="s">
        <v>255</v>
      </c>
      <c r="D164" s="131"/>
      <c r="E164" s="131">
        <v>25000</v>
      </c>
      <c r="F164" s="131">
        <v>0</v>
      </c>
      <c r="G164" s="131">
        <v>17000</v>
      </c>
      <c r="H164" s="131">
        <v>8000</v>
      </c>
      <c r="I164" s="131">
        <v>0</v>
      </c>
      <c r="J164" s="131">
        <v>968</v>
      </c>
      <c r="K164" s="131">
        <v>4833</v>
      </c>
      <c r="L164" s="131">
        <v>4833</v>
      </c>
      <c r="M164" s="131">
        <f t="shared" si="25"/>
        <v>4833</v>
      </c>
      <c r="N164" s="132">
        <v>0</v>
      </c>
      <c r="O164" s="132">
        <v>0</v>
      </c>
      <c r="P164" s="127">
        <f t="shared" si="24"/>
        <v>1</v>
      </c>
    </row>
    <row r="165" spans="1:16" ht="15.75" customHeight="1">
      <c r="A165" s="140"/>
      <c r="B165" s="130" t="s">
        <v>219</v>
      </c>
      <c r="C165" s="74" t="s">
        <v>220</v>
      </c>
      <c r="D165" s="131"/>
      <c r="E165" s="131">
        <v>0</v>
      </c>
      <c r="F165" s="131"/>
      <c r="G165" s="131"/>
      <c r="H165" s="131">
        <v>4100</v>
      </c>
      <c r="I165" s="131">
        <v>104</v>
      </c>
      <c r="J165" s="131">
        <v>0</v>
      </c>
      <c r="K165" s="131">
        <v>6014</v>
      </c>
      <c r="L165" s="131">
        <v>6014</v>
      </c>
      <c r="M165" s="131">
        <f t="shared" si="25"/>
        <v>6014</v>
      </c>
      <c r="N165" s="132">
        <v>0</v>
      </c>
      <c r="O165" s="132">
        <v>0</v>
      </c>
      <c r="P165" s="127">
        <f t="shared" si="24"/>
        <v>1</v>
      </c>
    </row>
    <row r="166" spans="1:16" ht="19.5" customHeight="1" hidden="1">
      <c r="A166" s="140"/>
      <c r="B166" s="130" t="s">
        <v>219</v>
      </c>
      <c r="C166" s="74" t="s">
        <v>327</v>
      </c>
      <c r="D166" s="131"/>
      <c r="E166" s="131">
        <v>12500</v>
      </c>
      <c r="F166" s="131">
        <v>0</v>
      </c>
      <c r="G166" s="131">
        <v>2500</v>
      </c>
      <c r="H166" s="138"/>
      <c r="I166" s="131">
        <v>0</v>
      </c>
      <c r="J166" s="131">
        <v>0</v>
      </c>
      <c r="K166" s="131">
        <f>H166+I166-J166</f>
        <v>0</v>
      </c>
      <c r="L166" s="131"/>
      <c r="M166" s="131">
        <f t="shared" si="25"/>
        <v>0</v>
      </c>
      <c r="N166" s="132">
        <v>0</v>
      </c>
      <c r="O166" s="132">
        <v>0</v>
      </c>
      <c r="P166" s="127" t="e">
        <f t="shared" si="24"/>
        <v>#DIV/0!</v>
      </c>
    </row>
    <row r="167" spans="1:16" ht="18" customHeight="1">
      <c r="A167" s="140"/>
      <c r="B167" s="130" t="s">
        <v>221</v>
      </c>
      <c r="C167" s="74" t="s">
        <v>222</v>
      </c>
      <c r="D167" s="131"/>
      <c r="E167" s="131">
        <v>2000</v>
      </c>
      <c r="F167" s="131">
        <v>0</v>
      </c>
      <c r="G167" s="131">
        <v>1173</v>
      </c>
      <c r="H167" s="131">
        <v>676</v>
      </c>
      <c r="I167" s="131">
        <v>0</v>
      </c>
      <c r="J167" s="131">
        <v>0</v>
      </c>
      <c r="K167" s="131">
        <v>733</v>
      </c>
      <c r="L167" s="131">
        <v>733</v>
      </c>
      <c r="M167" s="131">
        <f t="shared" si="25"/>
        <v>733</v>
      </c>
      <c r="N167" s="132">
        <v>0</v>
      </c>
      <c r="O167" s="132">
        <v>0</v>
      </c>
      <c r="P167" s="127">
        <f t="shared" si="24"/>
        <v>1</v>
      </c>
    </row>
    <row r="168" spans="1:16" ht="16.5" customHeight="1">
      <c r="A168" s="140"/>
      <c r="B168" s="130" t="s">
        <v>267</v>
      </c>
      <c r="C168" s="74" t="s">
        <v>268</v>
      </c>
      <c r="D168" s="131"/>
      <c r="E168" s="131">
        <v>13840</v>
      </c>
      <c r="F168" s="131">
        <v>0</v>
      </c>
      <c r="G168" s="131">
        <v>9183</v>
      </c>
      <c r="H168" s="131">
        <v>8569</v>
      </c>
      <c r="I168" s="131">
        <v>0</v>
      </c>
      <c r="J168" s="131">
        <v>0</v>
      </c>
      <c r="K168" s="131">
        <v>10253</v>
      </c>
      <c r="L168" s="131">
        <v>10253</v>
      </c>
      <c r="M168" s="131">
        <f t="shared" si="25"/>
        <v>10253</v>
      </c>
      <c r="N168" s="132">
        <v>0</v>
      </c>
      <c r="O168" s="132">
        <v>0</v>
      </c>
      <c r="P168" s="127">
        <f t="shared" si="24"/>
        <v>1</v>
      </c>
    </row>
    <row r="169" spans="1:16" ht="16.5" customHeight="1">
      <c r="A169" s="140"/>
      <c r="B169" s="130" t="s">
        <v>269</v>
      </c>
      <c r="C169" s="74" t="s">
        <v>328</v>
      </c>
      <c r="D169" s="131">
        <v>62500</v>
      </c>
      <c r="E169" s="131">
        <v>160</v>
      </c>
      <c r="F169" s="131">
        <v>0</v>
      </c>
      <c r="G169" s="131">
        <v>0</v>
      </c>
      <c r="H169" s="131">
        <v>160</v>
      </c>
      <c r="I169" s="131">
        <v>0</v>
      </c>
      <c r="J169" s="131">
        <v>0</v>
      </c>
      <c r="K169" s="131">
        <v>160</v>
      </c>
      <c r="L169" s="131">
        <v>160</v>
      </c>
      <c r="M169" s="131">
        <f t="shared" si="25"/>
        <v>160</v>
      </c>
      <c r="N169" s="132">
        <v>0</v>
      </c>
      <c r="O169" s="132">
        <v>0</v>
      </c>
      <c r="P169" s="127">
        <f t="shared" si="24"/>
        <v>1</v>
      </c>
    </row>
    <row r="170" spans="1:16" ht="16.5" customHeight="1">
      <c r="A170" s="140"/>
      <c r="B170" s="130" t="s">
        <v>260</v>
      </c>
      <c r="C170" s="74" t="s">
        <v>421</v>
      </c>
      <c r="D170" s="131"/>
      <c r="E170" s="131"/>
      <c r="F170" s="131"/>
      <c r="G170" s="131"/>
      <c r="H170" s="131"/>
      <c r="I170" s="131"/>
      <c r="J170" s="131"/>
      <c r="K170" s="131">
        <v>60000</v>
      </c>
      <c r="L170" s="131">
        <v>60000</v>
      </c>
      <c r="M170" s="131">
        <v>0</v>
      </c>
      <c r="N170" s="132">
        <f>L170-M170</f>
        <v>60000</v>
      </c>
      <c r="O170" s="132"/>
      <c r="P170" s="127">
        <f t="shared" si="24"/>
        <v>1</v>
      </c>
    </row>
    <row r="171" spans="1:16" ht="16.5" customHeight="1">
      <c r="A171" s="449" t="s">
        <v>672</v>
      </c>
      <c r="B171" s="460"/>
      <c r="C171" s="450" t="s">
        <v>88</v>
      </c>
      <c r="D171" s="456"/>
      <c r="E171" s="456"/>
      <c r="F171" s="456"/>
      <c r="G171" s="456"/>
      <c r="H171" s="456"/>
      <c r="I171" s="456"/>
      <c r="J171" s="456"/>
      <c r="K171" s="451">
        <f>K172</f>
        <v>19000</v>
      </c>
      <c r="L171" s="451">
        <f>L172</f>
        <v>18995</v>
      </c>
      <c r="M171" s="456">
        <f t="shared" si="25"/>
        <v>18995</v>
      </c>
      <c r="N171" s="451">
        <f>N172</f>
        <v>0</v>
      </c>
      <c r="O171" s="451">
        <f>O172</f>
        <v>0</v>
      </c>
      <c r="P171" s="458">
        <f t="shared" si="24"/>
        <v>0.9997368421052631</v>
      </c>
    </row>
    <row r="172" spans="1:16" ht="16.5" customHeight="1">
      <c r="A172" s="140"/>
      <c r="B172" s="130" t="s">
        <v>260</v>
      </c>
      <c r="C172" s="74" t="s">
        <v>421</v>
      </c>
      <c r="D172" s="131"/>
      <c r="E172" s="131"/>
      <c r="F172" s="131"/>
      <c r="G172" s="131"/>
      <c r="H172" s="131"/>
      <c r="I172" s="131"/>
      <c r="J172" s="131"/>
      <c r="K172" s="131">
        <v>19000</v>
      </c>
      <c r="L172" s="131">
        <v>18995</v>
      </c>
      <c r="M172" s="131">
        <f t="shared" si="25"/>
        <v>18995</v>
      </c>
      <c r="N172" s="132"/>
      <c r="O172" s="132"/>
      <c r="P172" s="127">
        <f t="shared" si="24"/>
        <v>0.9997368421052631</v>
      </c>
    </row>
    <row r="173" spans="1:16" ht="14.25" customHeight="1">
      <c r="A173" s="431" t="s">
        <v>329</v>
      </c>
      <c r="B173" s="435"/>
      <c r="C173" s="436" t="s">
        <v>330</v>
      </c>
      <c r="D173" s="433" t="e">
        <f aca="true" t="shared" si="26" ref="D173:J173">D174+D177</f>
        <v>#REF!</v>
      </c>
      <c r="E173" s="433" t="e">
        <f t="shared" si="26"/>
        <v>#REF!</v>
      </c>
      <c r="F173" s="433" t="e">
        <f t="shared" si="26"/>
        <v>#REF!</v>
      </c>
      <c r="G173" s="433" t="e">
        <f t="shared" si="26"/>
        <v>#REF!</v>
      </c>
      <c r="H173" s="433" t="e">
        <f t="shared" si="26"/>
        <v>#REF!</v>
      </c>
      <c r="I173" s="433" t="e">
        <f t="shared" si="26"/>
        <v>#REF!</v>
      </c>
      <c r="J173" s="433" t="e">
        <f t="shared" si="26"/>
        <v>#REF!</v>
      </c>
      <c r="K173" s="433">
        <f>K174</f>
        <v>570914</v>
      </c>
      <c r="L173" s="433">
        <f>L174</f>
        <v>570854</v>
      </c>
      <c r="M173" s="433">
        <f>M174</f>
        <v>0</v>
      </c>
      <c r="N173" s="434">
        <f>N174</f>
        <v>570854</v>
      </c>
      <c r="O173" s="434">
        <f>O174</f>
        <v>0</v>
      </c>
      <c r="P173" s="430">
        <f t="shared" si="24"/>
        <v>0.9998949053622788</v>
      </c>
    </row>
    <row r="174" spans="1:16" ht="21" customHeight="1">
      <c r="A174" s="449" t="s">
        <v>331</v>
      </c>
      <c r="B174" s="460"/>
      <c r="C174" s="450" t="s">
        <v>332</v>
      </c>
      <c r="D174" s="451">
        <f>D176</f>
        <v>2700</v>
      </c>
      <c r="E174" s="451">
        <f>E176</f>
        <v>360000</v>
      </c>
      <c r="F174" s="451">
        <f>F176</f>
        <v>0</v>
      </c>
      <c r="G174" s="451">
        <f>G176</f>
        <v>0</v>
      </c>
      <c r="H174" s="451" t="e">
        <f>H176+#REF!</f>
        <v>#REF!</v>
      </c>
      <c r="I174" s="451" t="e">
        <f>I176+#REF!</f>
        <v>#REF!</v>
      </c>
      <c r="J174" s="451" t="e">
        <f>J176+#REF!</f>
        <v>#REF!</v>
      </c>
      <c r="K174" s="451">
        <f>K175+K176</f>
        <v>570914</v>
      </c>
      <c r="L174" s="451">
        <f>L175+L176</f>
        <v>570854</v>
      </c>
      <c r="M174" s="451">
        <f>M175+M176</f>
        <v>0</v>
      </c>
      <c r="N174" s="451">
        <f>N175+N176</f>
        <v>570854</v>
      </c>
      <c r="O174" s="451">
        <f>O175+O176</f>
        <v>0</v>
      </c>
      <c r="P174" s="452">
        <f t="shared" si="24"/>
        <v>0.9998949053622788</v>
      </c>
    </row>
    <row r="175" spans="1:16" ht="21" customHeight="1">
      <c r="A175" s="129"/>
      <c r="B175" s="130" t="s">
        <v>228</v>
      </c>
      <c r="C175" s="74" t="s">
        <v>290</v>
      </c>
      <c r="D175" s="138"/>
      <c r="E175" s="138"/>
      <c r="F175" s="138"/>
      <c r="G175" s="138"/>
      <c r="H175" s="138"/>
      <c r="I175" s="138"/>
      <c r="J175" s="138"/>
      <c r="K175" s="131">
        <v>7512</v>
      </c>
      <c r="L175" s="131">
        <v>7512</v>
      </c>
      <c r="M175" s="131">
        <v>0</v>
      </c>
      <c r="N175" s="441">
        <f>L175</f>
        <v>7512</v>
      </c>
      <c r="O175" s="131">
        <v>0</v>
      </c>
      <c r="P175" s="461">
        <f t="shared" si="24"/>
        <v>1</v>
      </c>
    </row>
    <row r="176" spans="1:16" ht="13.5" customHeight="1">
      <c r="A176" s="140"/>
      <c r="B176" s="130" t="s">
        <v>333</v>
      </c>
      <c r="C176" s="74" t="s">
        <v>334</v>
      </c>
      <c r="D176" s="131">
        <v>2700</v>
      </c>
      <c r="E176" s="131">
        <v>360000</v>
      </c>
      <c r="F176" s="131">
        <v>0</v>
      </c>
      <c r="G176" s="131">
        <v>0</v>
      </c>
      <c r="H176" s="131">
        <v>372577</v>
      </c>
      <c r="I176" s="131">
        <v>12377</v>
      </c>
      <c r="J176" s="131">
        <v>0</v>
      </c>
      <c r="K176" s="131">
        <v>563402</v>
      </c>
      <c r="L176" s="131">
        <v>563342</v>
      </c>
      <c r="M176" s="131">
        <v>0</v>
      </c>
      <c r="N176" s="132">
        <f>L176</f>
        <v>563342</v>
      </c>
      <c r="O176" s="132">
        <v>0</v>
      </c>
      <c r="P176" s="127">
        <f t="shared" si="24"/>
        <v>0.9998935041054168</v>
      </c>
    </row>
    <row r="177" spans="1:16" ht="23.25" customHeight="1" hidden="1">
      <c r="A177" s="129" t="s">
        <v>335</v>
      </c>
      <c r="B177" s="136"/>
      <c r="C177" s="137" t="s">
        <v>336</v>
      </c>
      <c r="D177" s="138" t="e">
        <f>D179+#REF!</f>
        <v>#REF!</v>
      </c>
      <c r="E177" s="138" t="e">
        <f>E179+#REF!</f>
        <v>#REF!</v>
      </c>
      <c r="F177" s="138" t="e">
        <f>F179+#REF!</f>
        <v>#REF!</v>
      </c>
      <c r="G177" s="138" t="e">
        <f>G179+#REF!</f>
        <v>#REF!</v>
      </c>
      <c r="H177" s="138">
        <f>H178+H179</f>
        <v>0</v>
      </c>
      <c r="I177" s="138">
        <f>I178+I179</f>
        <v>0</v>
      </c>
      <c r="J177" s="138">
        <f>J178+J179</f>
        <v>0</v>
      </c>
      <c r="K177" s="138">
        <f>K178+K179</f>
        <v>0</v>
      </c>
      <c r="L177" s="138"/>
      <c r="M177" s="138" t="e">
        <f>M179+#REF!</f>
        <v>#REF!</v>
      </c>
      <c r="N177" s="138"/>
      <c r="O177" s="139">
        <f>O179</f>
        <v>0</v>
      </c>
      <c r="P177" s="127" t="e">
        <f t="shared" si="24"/>
        <v>#DIV/0!</v>
      </c>
    </row>
    <row r="178" spans="1:16" ht="21.75" customHeight="1" hidden="1">
      <c r="A178" s="129"/>
      <c r="B178" s="130" t="s">
        <v>337</v>
      </c>
      <c r="C178" s="74" t="s">
        <v>338</v>
      </c>
      <c r="D178" s="131"/>
      <c r="E178" s="131"/>
      <c r="F178" s="131"/>
      <c r="G178" s="131"/>
      <c r="H178" s="131">
        <v>0</v>
      </c>
      <c r="I178" s="131">
        <v>0</v>
      </c>
      <c r="J178" s="131">
        <v>0</v>
      </c>
      <c r="K178" s="131">
        <f>H178+I178-J178</f>
        <v>0</v>
      </c>
      <c r="L178" s="131"/>
      <c r="M178" s="131">
        <v>0</v>
      </c>
      <c r="N178" s="132"/>
      <c r="O178" s="132">
        <v>0</v>
      </c>
      <c r="P178" s="127" t="e">
        <f t="shared" si="24"/>
        <v>#DIV/0!</v>
      </c>
    </row>
    <row r="179" spans="1:16" ht="0.75" customHeight="1" hidden="1">
      <c r="A179" s="129"/>
      <c r="B179" s="130" t="s">
        <v>339</v>
      </c>
      <c r="C179" s="74" t="s">
        <v>340</v>
      </c>
      <c r="D179" s="131">
        <v>67300</v>
      </c>
      <c r="E179" s="131">
        <v>0</v>
      </c>
      <c r="F179" s="131">
        <v>0</v>
      </c>
      <c r="G179" s="131">
        <v>0</v>
      </c>
      <c r="H179" s="131">
        <v>0</v>
      </c>
      <c r="I179" s="131">
        <v>0</v>
      </c>
      <c r="J179" s="131">
        <v>0</v>
      </c>
      <c r="K179" s="131">
        <f>H179+I179-J179</f>
        <v>0</v>
      </c>
      <c r="L179" s="131"/>
      <c r="M179" s="131">
        <v>0</v>
      </c>
      <c r="N179" s="132"/>
      <c r="O179" s="132">
        <v>0</v>
      </c>
      <c r="P179" s="127" t="e">
        <f t="shared" si="24"/>
        <v>#DIV/0!</v>
      </c>
    </row>
    <row r="180" spans="1:16" ht="16.5" customHeight="1" hidden="1">
      <c r="A180" s="129" t="s">
        <v>341</v>
      </c>
      <c r="B180" s="136"/>
      <c r="C180" s="137" t="s">
        <v>342</v>
      </c>
      <c r="D180" s="138">
        <f aca="true" t="shared" si="27" ref="D180:K180">D181</f>
        <v>0</v>
      </c>
      <c r="E180" s="138">
        <f t="shared" si="27"/>
        <v>0</v>
      </c>
      <c r="F180" s="138">
        <f t="shared" si="27"/>
        <v>0</v>
      </c>
      <c r="G180" s="138">
        <f t="shared" si="27"/>
        <v>0</v>
      </c>
      <c r="H180" s="138">
        <f t="shared" si="27"/>
        <v>0</v>
      </c>
      <c r="I180" s="138">
        <f t="shared" si="27"/>
        <v>0</v>
      </c>
      <c r="J180" s="138">
        <f t="shared" si="27"/>
        <v>0</v>
      </c>
      <c r="K180" s="138">
        <f t="shared" si="27"/>
        <v>0</v>
      </c>
      <c r="L180" s="138"/>
      <c r="M180" s="138">
        <f>M181</f>
        <v>0</v>
      </c>
      <c r="N180" s="139">
        <f>N181</f>
        <v>0</v>
      </c>
      <c r="O180" s="139">
        <f>O181</f>
        <v>0</v>
      </c>
      <c r="P180" s="127" t="e">
        <f t="shared" si="24"/>
        <v>#DIV/0!</v>
      </c>
    </row>
    <row r="181" spans="1:16" ht="15" customHeight="1" hidden="1">
      <c r="A181" s="129" t="s">
        <v>343</v>
      </c>
      <c r="B181" s="136"/>
      <c r="C181" s="137" t="s">
        <v>344</v>
      </c>
      <c r="D181" s="138">
        <f>D182+D183+D184</f>
        <v>0</v>
      </c>
      <c r="E181" s="138">
        <f>E182+E183+E184</f>
        <v>0</v>
      </c>
      <c r="F181" s="138">
        <f aca="true" t="shared" si="28" ref="F181:K181">F182+F183</f>
        <v>0</v>
      </c>
      <c r="G181" s="138">
        <f t="shared" si="28"/>
        <v>0</v>
      </c>
      <c r="H181" s="138">
        <f t="shared" si="28"/>
        <v>0</v>
      </c>
      <c r="I181" s="138">
        <f t="shared" si="28"/>
        <v>0</v>
      </c>
      <c r="J181" s="138">
        <f t="shared" si="28"/>
        <v>0</v>
      </c>
      <c r="K181" s="138">
        <f t="shared" si="28"/>
        <v>0</v>
      </c>
      <c r="L181" s="138"/>
      <c r="M181" s="138">
        <f>M182+M183</f>
        <v>0</v>
      </c>
      <c r="N181" s="139">
        <f>N182+N183</f>
        <v>0</v>
      </c>
      <c r="O181" s="139">
        <f>O182+O183</f>
        <v>0</v>
      </c>
      <c r="P181" s="127" t="e">
        <f t="shared" si="24"/>
        <v>#DIV/0!</v>
      </c>
    </row>
    <row r="182" spans="1:16" ht="14.25" customHeight="1" hidden="1">
      <c r="A182" s="140"/>
      <c r="B182" s="130" t="s">
        <v>345</v>
      </c>
      <c r="C182" s="74" t="s">
        <v>346</v>
      </c>
      <c r="D182" s="131">
        <v>0</v>
      </c>
      <c r="E182" s="131">
        <v>0</v>
      </c>
      <c r="F182" s="131">
        <v>0</v>
      </c>
      <c r="G182" s="131">
        <v>0</v>
      </c>
      <c r="H182" s="131">
        <v>0</v>
      </c>
      <c r="I182" s="131"/>
      <c r="J182" s="131">
        <v>0</v>
      </c>
      <c r="K182" s="131">
        <f>H182+I182-J182</f>
        <v>0</v>
      </c>
      <c r="L182" s="131"/>
      <c r="M182" s="131">
        <v>0</v>
      </c>
      <c r="N182" s="132">
        <f>K182</f>
        <v>0</v>
      </c>
      <c r="O182" s="132">
        <v>0</v>
      </c>
      <c r="P182" s="127" t="e">
        <f t="shared" si="24"/>
        <v>#DIV/0!</v>
      </c>
    </row>
    <row r="183" spans="1:16" ht="16.5" customHeight="1" hidden="1">
      <c r="A183" s="140"/>
      <c r="B183" s="130" t="s">
        <v>345</v>
      </c>
      <c r="C183" s="74" t="s">
        <v>347</v>
      </c>
      <c r="D183" s="131">
        <v>0</v>
      </c>
      <c r="E183" s="131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f>H183+I183-J183</f>
        <v>0</v>
      </c>
      <c r="L183" s="131"/>
      <c r="M183" s="131">
        <v>0</v>
      </c>
      <c r="N183" s="132">
        <f>K183</f>
        <v>0</v>
      </c>
      <c r="O183" s="132">
        <v>0</v>
      </c>
      <c r="P183" s="127" t="e">
        <f t="shared" si="24"/>
        <v>#DIV/0!</v>
      </c>
    </row>
    <row r="184" spans="1:16" ht="19.5" customHeight="1" hidden="1">
      <c r="A184" s="140"/>
      <c r="B184" s="130" t="s">
        <v>348</v>
      </c>
      <c r="C184" s="74" t="s">
        <v>349</v>
      </c>
      <c r="D184" s="131">
        <v>0</v>
      </c>
      <c r="E184" s="131"/>
      <c r="F184" s="131"/>
      <c r="G184" s="131"/>
      <c r="H184" s="131"/>
      <c r="I184" s="131"/>
      <c r="J184" s="131"/>
      <c r="K184" s="131"/>
      <c r="L184" s="131"/>
      <c r="M184" s="131"/>
      <c r="N184" s="132"/>
      <c r="O184" s="132"/>
      <c r="P184" s="127" t="e">
        <f t="shared" si="24"/>
        <v>#DIV/0!</v>
      </c>
    </row>
    <row r="185" spans="1:16" ht="16.5" customHeight="1">
      <c r="A185" s="431" t="s">
        <v>120</v>
      </c>
      <c r="B185" s="435"/>
      <c r="C185" s="436" t="s">
        <v>350</v>
      </c>
      <c r="D185" s="433" t="e">
        <f>D186+D205+D217+#REF!+D247+#REF!+D267+D288</f>
        <v>#REF!</v>
      </c>
      <c r="E185" s="433" t="e">
        <f>E186+E205+E217+#REF!+E247+#REF!+E267+E288+#REF!+E280+E277+#REF!</f>
        <v>#REF!</v>
      </c>
      <c r="F185" s="433" t="e">
        <f>F186+F205+F217+F247+#REF!+#REF!+F267+#REF!+F277+F280+F288+#REF!</f>
        <v>#REF!</v>
      </c>
      <c r="G185" s="433" t="e">
        <f>G186+G205+G217+G247+#REF!+#REF!+G267+#REF!+G277+G280+G288+#REF!</f>
        <v>#REF!</v>
      </c>
      <c r="H185" s="433" t="e">
        <f aca="true" t="shared" si="29" ref="H185:O185">H186+H203+H205+H217+H236+H247+H267+H277+H280+H288</f>
        <v>#REF!</v>
      </c>
      <c r="I185" s="433" t="e">
        <f t="shared" si="29"/>
        <v>#REF!</v>
      </c>
      <c r="J185" s="433" t="e">
        <f t="shared" si="29"/>
        <v>#REF!</v>
      </c>
      <c r="K185" s="433">
        <f t="shared" si="29"/>
        <v>10407980</v>
      </c>
      <c r="L185" s="433">
        <f t="shared" si="29"/>
        <v>10407980</v>
      </c>
      <c r="M185" s="433">
        <f t="shared" si="29"/>
        <v>0</v>
      </c>
      <c r="N185" s="433">
        <f t="shared" si="29"/>
        <v>10395980</v>
      </c>
      <c r="O185" s="433">
        <f t="shared" si="29"/>
        <v>12000</v>
      </c>
      <c r="P185" s="430">
        <f t="shared" si="24"/>
        <v>1</v>
      </c>
    </row>
    <row r="186" spans="1:16" ht="15" customHeight="1">
      <c r="A186" s="449" t="s">
        <v>351</v>
      </c>
      <c r="B186" s="460"/>
      <c r="C186" s="450" t="s">
        <v>352</v>
      </c>
      <c r="D186" s="451">
        <f>D188+D189+D190+D200</f>
        <v>1274233</v>
      </c>
      <c r="E186" s="451" t="e">
        <f>E188+E189+E190+E191+E192+E194+#REF!+E195+#REF!+E197+E198+E199</f>
        <v>#REF!</v>
      </c>
      <c r="F186" s="451" t="e">
        <f>F188+F189+F190+F191+F192+F194+#REF!+F195+#REF!+F197+F198+F199</f>
        <v>#REF!</v>
      </c>
      <c r="G186" s="451" t="e">
        <f>G188+G189+G190+G191+G192+G194+#REF!+G195+#REF!+G197+G198+G199</f>
        <v>#REF!</v>
      </c>
      <c r="H186" s="451">
        <f>H188+H189+H190+H191+H194+H195+H197+H198+H199+H202+H193</f>
        <v>708781</v>
      </c>
      <c r="I186" s="451">
        <f>I188+I189+I190+I191+I194+I195+I197+I198+I199+I202+I193</f>
        <v>25881</v>
      </c>
      <c r="J186" s="451">
        <f>J188+J189+J190+J191+J194+J195+J197+J198+J199+J202+J193</f>
        <v>4160</v>
      </c>
      <c r="K186" s="451">
        <f>K187+K188+K189+K190+K191+K194+K195+K196+K197+K198+K199+K201+K202</f>
        <v>865382</v>
      </c>
      <c r="L186" s="451">
        <f>L187+L188+L189+L190+L191+L194+L195+L196+L197+L198+L199+L201+L202</f>
        <v>865382</v>
      </c>
      <c r="M186" s="451">
        <f>M187+M188+M189+M190+M191+M194+M195+M196+M197+M198+M199+M201+M202</f>
        <v>0</v>
      </c>
      <c r="N186" s="451">
        <f>N187+N188+N189+N190+N191+N194+N195+N196+N197+N198+N199+N201+N202</f>
        <v>865382</v>
      </c>
      <c r="O186" s="451">
        <f>O187+O188+O189+O190+O191+O194+O195+O196+O197+O198+O199+O201+O202</f>
        <v>0</v>
      </c>
      <c r="P186" s="452">
        <f t="shared" si="24"/>
        <v>1</v>
      </c>
    </row>
    <row r="187" spans="1:16" ht="15" customHeight="1">
      <c r="A187" s="140"/>
      <c r="B187" s="130" t="s">
        <v>215</v>
      </c>
      <c r="C187" s="74" t="s">
        <v>353</v>
      </c>
      <c r="D187" s="131"/>
      <c r="E187" s="131"/>
      <c r="F187" s="131"/>
      <c r="G187" s="131"/>
      <c r="H187" s="131"/>
      <c r="I187" s="131"/>
      <c r="J187" s="131"/>
      <c r="K187" s="131">
        <v>790</v>
      </c>
      <c r="L187" s="131">
        <v>790</v>
      </c>
      <c r="M187" s="131">
        <v>0</v>
      </c>
      <c r="N187" s="132">
        <f aca="true" t="shared" si="30" ref="N187:N202">L187</f>
        <v>790</v>
      </c>
      <c r="O187" s="131">
        <v>0</v>
      </c>
      <c r="P187" s="127">
        <f t="shared" si="24"/>
        <v>1</v>
      </c>
    </row>
    <row r="188" spans="1:16" ht="14.25" customHeight="1">
      <c r="A188" s="129"/>
      <c r="B188" s="130" t="s">
        <v>238</v>
      </c>
      <c r="C188" s="74" t="s">
        <v>287</v>
      </c>
      <c r="D188" s="131">
        <v>866965</v>
      </c>
      <c r="E188" s="131">
        <v>823342</v>
      </c>
      <c r="F188" s="131">
        <v>45000</v>
      </c>
      <c r="G188" s="131">
        <v>24814</v>
      </c>
      <c r="H188" s="131">
        <v>355622</v>
      </c>
      <c r="I188" s="131">
        <v>24608</v>
      </c>
      <c r="J188" s="131">
        <v>0</v>
      </c>
      <c r="K188" s="131">
        <v>368469</v>
      </c>
      <c r="L188" s="131">
        <v>368469</v>
      </c>
      <c r="M188" s="131">
        <v>0</v>
      </c>
      <c r="N188" s="132">
        <f t="shared" si="30"/>
        <v>368469</v>
      </c>
      <c r="O188" s="132">
        <v>0</v>
      </c>
      <c r="P188" s="127">
        <f t="shared" si="24"/>
        <v>1</v>
      </c>
    </row>
    <row r="189" spans="1:16" ht="13.5" customHeight="1">
      <c r="A189" s="129"/>
      <c r="B189" s="130" t="s">
        <v>240</v>
      </c>
      <c r="C189" s="74" t="s">
        <v>241</v>
      </c>
      <c r="D189" s="131">
        <v>75166</v>
      </c>
      <c r="E189" s="131">
        <v>81513</v>
      </c>
      <c r="F189" s="131">
        <v>0</v>
      </c>
      <c r="G189" s="131">
        <v>0</v>
      </c>
      <c r="H189" s="131">
        <v>40794</v>
      </c>
      <c r="I189" s="131">
        <v>0</v>
      </c>
      <c r="J189" s="131">
        <v>0</v>
      </c>
      <c r="K189" s="131">
        <v>31860</v>
      </c>
      <c r="L189" s="131">
        <v>31860</v>
      </c>
      <c r="M189" s="131">
        <v>0</v>
      </c>
      <c r="N189" s="132">
        <f t="shared" si="30"/>
        <v>31860</v>
      </c>
      <c r="O189" s="132">
        <v>0</v>
      </c>
      <c r="P189" s="127">
        <f t="shared" si="24"/>
        <v>1</v>
      </c>
    </row>
    <row r="190" spans="1:16" ht="14.25" customHeight="1">
      <c r="A190" s="129"/>
      <c r="B190" s="135" t="s">
        <v>280</v>
      </c>
      <c r="C190" s="74" t="s">
        <v>243</v>
      </c>
      <c r="D190" s="131">
        <v>205528</v>
      </c>
      <c r="E190" s="131">
        <v>158209</v>
      </c>
      <c r="F190" s="131">
        <v>8046</v>
      </c>
      <c r="G190" s="131">
        <v>4948</v>
      </c>
      <c r="H190" s="131">
        <v>70500</v>
      </c>
      <c r="I190" s="131">
        <v>0</v>
      </c>
      <c r="J190" s="131">
        <v>3114</v>
      </c>
      <c r="K190" s="131">
        <v>73321</v>
      </c>
      <c r="L190" s="131">
        <v>73321</v>
      </c>
      <c r="M190" s="131">
        <v>0</v>
      </c>
      <c r="N190" s="132">
        <f t="shared" si="30"/>
        <v>73321</v>
      </c>
      <c r="O190" s="132">
        <v>0</v>
      </c>
      <c r="P190" s="127">
        <f t="shared" si="24"/>
        <v>1</v>
      </c>
    </row>
    <row r="191" spans="1:16" ht="12.75" customHeight="1">
      <c r="A191" s="129"/>
      <c r="B191" s="135" t="s">
        <v>244</v>
      </c>
      <c r="C191" s="74" t="s">
        <v>245</v>
      </c>
      <c r="D191" s="131"/>
      <c r="E191" s="131">
        <v>21676</v>
      </c>
      <c r="F191" s="131">
        <v>1102</v>
      </c>
      <c r="G191" s="131">
        <v>680</v>
      </c>
      <c r="H191" s="131">
        <v>9660</v>
      </c>
      <c r="I191" s="131">
        <v>0</v>
      </c>
      <c r="J191" s="131">
        <v>52</v>
      </c>
      <c r="K191" s="131">
        <v>10293</v>
      </c>
      <c r="L191" s="131">
        <v>10293</v>
      </c>
      <c r="M191" s="131">
        <v>0</v>
      </c>
      <c r="N191" s="132">
        <f t="shared" si="30"/>
        <v>10293</v>
      </c>
      <c r="O191" s="132">
        <v>0</v>
      </c>
      <c r="P191" s="127">
        <f t="shared" si="24"/>
        <v>1</v>
      </c>
    </row>
    <row r="192" spans="1:16" ht="23.25" customHeight="1" hidden="1">
      <c r="A192" s="129"/>
      <c r="B192" s="135"/>
      <c r="C192" s="74" t="s">
        <v>281</v>
      </c>
      <c r="D192" s="131"/>
      <c r="E192" s="131">
        <v>1974</v>
      </c>
      <c r="F192" s="131">
        <v>0</v>
      </c>
      <c r="G192" s="131">
        <v>0</v>
      </c>
      <c r="H192" s="131"/>
      <c r="I192" s="131"/>
      <c r="J192" s="131"/>
      <c r="K192" s="131">
        <f>H192+I192-J192</f>
        <v>0</v>
      </c>
      <c r="L192" s="131"/>
      <c r="M192" s="131"/>
      <c r="N192" s="132">
        <f t="shared" si="30"/>
        <v>0</v>
      </c>
      <c r="O192" s="132">
        <v>0</v>
      </c>
      <c r="P192" s="127" t="e">
        <f t="shared" si="24"/>
        <v>#DIV/0!</v>
      </c>
    </row>
    <row r="193" spans="1:16" ht="18.75" customHeight="1" hidden="1">
      <c r="A193" s="129"/>
      <c r="B193" s="135" t="s">
        <v>215</v>
      </c>
      <c r="C193" s="131" t="s">
        <v>354</v>
      </c>
      <c r="D193" s="131"/>
      <c r="E193" s="131"/>
      <c r="F193" s="131"/>
      <c r="G193" s="131"/>
      <c r="H193" s="131">
        <v>0</v>
      </c>
      <c r="I193" s="131">
        <v>0</v>
      </c>
      <c r="J193" s="131">
        <v>0</v>
      </c>
      <c r="K193" s="131">
        <f>H193+I193-J193</f>
        <v>0</v>
      </c>
      <c r="L193" s="131"/>
      <c r="M193" s="131">
        <v>0</v>
      </c>
      <c r="N193" s="132">
        <f t="shared" si="30"/>
        <v>0</v>
      </c>
      <c r="O193" s="132">
        <v>0</v>
      </c>
      <c r="P193" s="127" t="e">
        <f t="shared" si="24"/>
        <v>#DIV/0!</v>
      </c>
    </row>
    <row r="194" spans="1:16" ht="13.5" customHeight="1">
      <c r="A194" s="129"/>
      <c r="B194" s="135" t="s">
        <v>225</v>
      </c>
      <c r="C194" s="74" t="s">
        <v>355</v>
      </c>
      <c r="D194" s="131"/>
      <c r="E194" s="131">
        <v>35892</v>
      </c>
      <c r="F194" s="131">
        <v>2000</v>
      </c>
      <c r="G194" s="131">
        <v>0</v>
      </c>
      <c r="H194" s="131">
        <v>22000</v>
      </c>
      <c r="I194" s="131">
        <v>0</v>
      </c>
      <c r="J194" s="131">
        <v>0</v>
      </c>
      <c r="K194" s="131">
        <v>108972</v>
      </c>
      <c r="L194" s="131">
        <v>108972</v>
      </c>
      <c r="M194" s="131">
        <v>0</v>
      </c>
      <c r="N194" s="132">
        <f t="shared" si="30"/>
        <v>108972</v>
      </c>
      <c r="O194" s="132">
        <v>0</v>
      </c>
      <c r="P194" s="127">
        <f aca="true" t="shared" si="31" ref="P194:P227">L194/K194</f>
        <v>1</v>
      </c>
    </row>
    <row r="195" spans="1:16" ht="14.25" customHeight="1">
      <c r="A195" s="129"/>
      <c r="B195" s="135" t="s">
        <v>250</v>
      </c>
      <c r="C195" s="74" t="s">
        <v>266</v>
      </c>
      <c r="D195" s="131"/>
      <c r="E195" s="131">
        <v>12822</v>
      </c>
      <c r="F195" s="131">
        <v>0</v>
      </c>
      <c r="G195" s="131">
        <v>0</v>
      </c>
      <c r="H195" s="131">
        <v>8850</v>
      </c>
      <c r="I195" s="131">
        <v>0</v>
      </c>
      <c r="J195" s="131">
        <v>980</v>
      </c>
      <c r="K195" s="131">
        <v>9000</v>
      </c>
      <c r="L195" s="131">
        <v>9000</v>
      </c>
      <c r="M195" s="131">
        <v>0</v>
      </c>
      <c r="N195" s="132">
        <f t="shared" si="30"/>
        <v>9000</v>
      </c>
      <c r="O195" s="132">
        <v>0</v>
      </c>
      <c r="P195" s="127">
        <f t="shared" si="31"/>
        <v>1</v>
      </c>
    </row>
    <row r="196" spans="1:16" ht="15" customHeight="1">
      <c r="A196" s="129"/>
      <c r="B196" s="135" t="s">
        <v>252</v>
      </c>
      <c r="C196" s="74" t="s">
        <v>324</v>
      </c>
      <c r="D196" s="131"/>
      <c r="E196" s="131"/>
      <c r="F196" s="131"/>
      <c r="G196" s="131"/>
      <c r="H196" s="131"/>
      <c r="I196" s="131"/>
      <c r="J196" s="131"/>
      <c r="K196" s="131">
        <v>0</v>
      </c>
      <c r="L196" s="131">
        <v>0</v>
      </c>
      <c r="M196" s="131">
        <v>0</v>
      </c>
      <c r="N196" s="132">
        <f t="shared" si="30"/>
        <v>0</v>
      </c>
      <c r="O196" s="132">
        <v>0</v>
      </c>
      <c r="P196" s="127">
        <v>0</v>
      </c>
    </row>
    <row r="197" spans="1:16" ht="15" customHeight="1">
      <c r="A197" s="129"/>
      <c r="B197" s="135" t="s">
        <v>228</v>
      </c>
      <c r="C197" s="74" t="s">
        <v>290</v>
      </c>
      <c r="D197" s="131"/>
      <c r="E197" s="131">
        <v>9517</v>
      </c>
      <c r="F197" s="131">
        <v>0</v>
      </c>
      <c r="G197" s="131">
        <v>0</v>
      </c>
      <c r="H197" s="131">
        <v>5400</v>
      </c>
      <c r="I197" s="131">
        <v>1273</v>
      </c>
      <c r="J197" s="131">
        <v>0</v>
      </c>
      <c r="K197" s="131">
        <v>15600</v>
      </c>
      <c r="L197" s="131">
        <v>15600</v>
      </c>
      <c r="M197" s="131">
        <v>0</v>
      </c>
      <c r="N197" s="132">
        <f t="shared" si="30"/>
        <v>15600</v>
      </c>
      <c r="O197" s="132">
        <v>0</v>
      </c>
      <c r="P197" s="127">
        <f t="shared" si="31"/>
        <v>1</v>
      </c>
    </row>
    <row r="198" spans="1:16" ht="13.5" customHeight="1">
      <c r="A198" s="129"/>
      <c r="B198" s="135" t="s">
        <v>254</v>
      </c>
      <c r="C198" s="74" t="s">
        <v>255</v>
      </c>
      <c r="D198" s="131"/>
      <c r="E198" s="131">
        <v>229</v>
      </c>
      <c r="F198" s="131">
        <v>800</v>
      </c>
      <c r="G198" s="131">
        <v>0</v>
      </c>
      <c r="H198" s="131">
        <v>200</v>
      </c>
      <c r="I198" s="131">
        <v>0</v>
      </c>
      <c r="J198" s="131">
        <v>14</v>
      </c>
      <c r="K198" s="131">
        <v>1000</v>
      </c>
      <c r="L198" s="131">
        <v>1000</v>
      </c>
      <c r="M198" s="131">
        <v>0</v>
      </c>
      <c r="N198" s="132">
        <f t="shared" si="30"/>
        <v>1000</v>
      </c>
      <c r="O198" s="132">
        <v>0</v>
      </c>
      <c r="P198" s="127">
        <f t="shared" si="31"/>
        <v>1</v>
      </c>
    </row>
    <row r="199" spans="1:16" ht="14.25" customHeight="1">
      <c r="A199" s="129"/>
      <c r="B199" s="135" t="s">
        <v>221</v>
      </c>
      <c r="C199" s="74" t="s">
        <v>222</v>
      </c>
      <c r="D199" s="131"/>
      <c r="E199" s="131">
        <v>60464</v>
      </c>
      <c r="F199" s="131">
        <v>0</v>
      </c>
      <c r="G199" s="131">
        <v>0</v>
      </c>
      <c r="H199" s="131">
        <v>17534</v>
      </c>
      <c r="I199" s="131">
        <v>0</v>
      </c>
      <c r="J199" s="131">
        <v>0</v>
      </c>
      <c r="K199" s="131">
        <v>29695</v>
      </c>
      <c r="L199" s="131">
        <v>29695</v>
      </c>
      <c r="M199" s="131">
        <v>0</v>
      </c>
      <c r="N199" s="132">
        <f t="shared" si="30"/>
        <v>29695</v>
      </c>
      <c r="O199" s="132">
        <v>0</v>
      </c>
      <c r="P199" s="127">
        <f t="shared" si="31"/>
        <v>1</v>
      </c>
    </row>
    <row r="200" spans="1:16" ht="18.75" customHeight="1" hidden="1">
      <c r="A200" s="129"/>
      <c r="B200" s="130"/>
      <c r="C200" s="131" t="s">
        <v>356</v>
      </c>
      <c r="D200" s="131">
        <v>126574</v>
      </c>
      <c r="E200" s="131"/>
      <c r="F200" s="131"/>
      <c r="G200" s="131"/>
      <c r="H200" s="131"/>
      <c r="I200" s="131"/>
      <c r="J200" s="131"/>
      <c r="K200" s="131">
        <f>H200+I200-J200</f>
        <v>0</v>
      </c>
      <c r="L200" s="131"/>
      <c r="M200" s="131"/>
      <c r="N200" s="132">
        <f t="shared" si="30"/>
        <v>0</v>
      </c>
      <c r="O200" s="132">
        <v>0</v>
      </c>
      <c r="P200" s="127" t="e">
        <f t="shared" si="31"/>
        <v>#DIV/0!</v>
      </c>
    </row>
    <row r="201" spans="1:16" ht="15" customHeight="1">
      <c r="A201" s="129"/>
      <c r="B201" s="130" t="s">
        <v>258</v>
      </c>
      <c r="C201" s="131" t="s">
        <v>357</v>
      </c>
      <c r="D201" s="131"/>
      <c r="E201" s="131"/>
      <c r="F201" s="131"/>
      <c r="G201" s="131"/>
      <c r="H201" s="131"/>
      <c r="I201" s="131"/>
      <c r="J201" s="131"/>
      <c r="K201" s="131">
        <v>0</v>
      </c>
      <c r="L201" s="131">
        <v>0</v>
      </c>
      <c r="M201" s="131">
        <v>0</v>
      </c>
      <c r="N201" s="132">
        <f t="shared" si="30"/>
        <v>0</v>
      </c>
      <c r="O201" s="132">
        <v>0</v>
      </c>
      <c r="P201" s="127">
        <v>0</v>
      </c>
    </row>
    <row r="202" spans="1:16" ht="21.75" customHeight="1">
      <c r="A202" s="129"/>
      <c r="B202" s="130" t="s">
        <v>358</v>
      </c>
      <c r="C202" s="74" t="s">
        <v>359</v>
      </c>
      <c r="D202" s="131"/>
      <c r="E202" s="131"/>
      <c r="F202" s="131"/>
      <c r="G202" s="131"/>
      <c r="H202" s="131">
        <v>178221</v>
      </c>
      <c r="I202" s="131">
        <v>0</v>
      </c>
      <c r="J202" s="131">
        <v>0</v>
      </c>
      <c r="K202" s="131">
        <v>216382</v>
      </c>
      <c r="L202" s="131">
        <v>216382</v>
      </c>
      <c r="M202" s="131">
        <v>0</v>
      </c>
      <c r="N202" s="132">
        <f t="shared" si="30"/>
        <v>216382</v>
      </c>
      <c r="O202" s="132">
        <v>0</v>
      </c>
      <c r="P202" s="127">
        <f t="shared" si="31"/>
        <v>1</v>
      </c>
    </row>
    <row r="203" spans="1:16" ht="21.75" customHeight="1">
      <c r="A203" s="449" t="s">
        <v>680</v>
      </c>
      <c r="B203" s="460"/>
      <c r="C203" s="450" t="s">
        <v>423</v>
      </c>
      <c r="D203" s="451"/>
      <c r="E203" s="451"/>
      <c r="F203" s="451"/>
      <c r="G203" s="451"/>
      <c r="H203" s="451">
        <f aca="true" t="shared" si="32" ref="H203:O203">H204</f>
        <v>60127</v>
      </c>
      <c r="I203" s="451">
        <f t="shared" si="32"/>
        <v>0</v>
      </c>
      <c r="J203" s="451">
        <f t="shared" si="32"/>
        <v>0</v>
      </c>
      <c r="K203" s="451">
        <f t="shared" si="32"/>
        <v>90022</v>
      </c>
      <c r="L203" s="451">
        <f t="shared" si="32"/>
        <v>90022</v>
      </c>
      <c r="M203" s="451">
        <f t="shared" si="32"/>
        <v>0</v>
      </c>
      <c r="N203" s="451">
        <f t="shared" si="32"/>
        <v>90022</v>
      </c>
      <c r="O203" s="451">
        <f t="shared" si="32"/>
        <v>0</v>
      </c>
      <c r="P203" s="452">
        <f t="shared" si="31"/>
        <v>1</v>
      </c>
    </row>
    <row r="204" spans="1:16" ht="21" customHeight="1">
      <c r="A204" s="129"/>
      <c r="B204" s="130" t="s">
        <v>358</v>
      </c>
      <c r="C204" s="74" t="s">
        <v>359</v>
      </c>
      <c r="D204" s="131"/>
      <c r="E204" s="131"/>
      <c r="F204" s="131"/>
      <c r="G204" s="131"/>
      <c r="H204" s="131">
        <v>60127</v>
      </c>
      <c r="I204" s="131">
        <v>0</v>
      </c>
      <c r="J204" s="131">
        <v>0</v>
      </c>
      <c r="K204" s="131">
        <v>90022</v>
      </c>
      <c r="L204" s="131">
        <v>90022</v>
      </c>
      <c r="M204" s="131">
        <v>0</v>
      </c>
      <c r="N204" s="132">
        <f>L204</f>
        <v>90022</v>
      </c>
      <c r="O204" s="132">
        <v>0</v>
      </c>
      <c r="P204" s="127">
        <f t="shared" si="31"/>
        <v>1</v>
      </c>
    </row>
    <row r="205" spans="1:16" ht="14.25" customHeight="1">
      <c r="A205" s="449" t="s">
        <v>360</v>
      </c>
      <c r="B205" s="460"/>
      <c r="C205" s="450" t="s">
        <v>361</v>
      </c>
      <c r="D205" s="451">
        <f>D206+D207+D208+D210</f>
        <v>276119</v>
      </c>
      <c r="E205" s="451" t="e">
        <f>E206+E207+E208+E209+E210+E211+#REF!+#REF!+E214</f>
        <v>#REF!</v>
      </c>
      <c r="F205" s="451" t="e">
        <f>F206+F207+F208+F209+F210+F211+#REF!+#REF!+F214</f>
        <v>#REF!</v>
      </c>
      <c r="G205" s="451" t="e">
        <f>G206+G207+G208+G209+G210+G211+#REF!+#REF!+G214</f>
        <v>#REF!</v>
      </c>
      <c r="H205" s="451">
        <f>H206+H207+H208+H209+H211+H214+H216+H213</f>
        <v>416047</v>
      </c>
      <c r="I205" s="451">
        <f>I206+I207+I208+I209+I211+I214+I216+I213</f>
        <v>0</v>
      </c>
      <c r="J205" s="451">
        <f>J206+J207+J208+J209+J211+J214+J216+J213</f>
        <v>10737</v>
      </c>
      <c r="K205" s="451">
        <f>K206+K207+K208+K209+K211+K212+K213+K214+K215+K216</f>
        <v>510137</v>
      </c>
      <c r="L205" s="451">
        <f>L206+L207+L208+L209+L211+L212+L213+L214+L215+L216</f>
        <v>510137</v>
      </c>
      <c r="M205" s="451">
        <f>M206+M207+M208+M209+M211+M212+M213+M214+M215+M216</f>
        <v>0</v>
      </c>
      <c r="N205" s="451">
        <f>N206+N207+N208+N209+N211+N212+N213+N214+N215+N216</f>
        <v>510137</v>
      </c>
      <c r="O205" s="451">
        <f>O206+O207+O208+O209+O211+O212+O213+O214+O215+O216</f>
        <v>0</v>
      </c>
      <c r="P205" s="452">
        <f t="shared" si="31"/>
        <v>1</v>
      </c>
    </row>
    <row r="206" spans="1:16" ht="13.5" customHeight="1">
      <c r="A206" s="129"/>
      <c r="B206" s="130" t="s">
        <v>238</v>
      </c>
      <c r="C206" s="74" t="s">
        <v>287</v>
      </c>
      <c r="D206" s="131">
        <v>212518</v>
      </c>
      <c r="E206" s="131">
        <v>225071</v>
      </c>
      <c r="F206" s="131">
        <v>24814</v>
      </c>
      <c r="G206" s="131">
        <v>0</v>
      </c>
      <c r="H206" s="131">
        <v>279732</v>
      </c>
      <c r="I206" s="131">
        <v>0</v>
      </c>
      <c r="J206" s="131">
        <v>2343</v>
      </c>
      <c r="K206" s="131">
        <v>224613</v>
      </c>
      <c r="L206" s="131">
        <v>224613</v>
      </c>
      <c r="M206" s="131">
        <v>0</v>
      </c>
      <c r="N206" s="132">
        <f aca="true" t="shared" si="33" ref="N206:N216">L206</f>
        <v>224613</v>
      </c>
      <c r="O206" s="132">
        <v>0</v>
      </c>
      <c r="P206" s="127">
        <f t="shared" si="31"/>
        <v>1</v>
      </c>
    </row>
    <row r="207" spans="1:16" ht="12.75" customHeight="1">
      <c r="A207" s="129"/>
      <c r="B207" s="130" t="s">
        <v>240</v>
      </c>
      <c r="C207" s="74" t="s">
        <v>241</v>
      </c>
      <c r="D207" s="131">
        <v>4145</v>
      </c>
      <c r="E207" s="131">
        <v>6923</v>
      </c>
      <c r="F207" s="131">
        <v>0</v>
      </c>
      <c r="G207" s="131">
        <v>0</v>
      </c>
      <c r="H207" s="131">
        <v>10410</v>
      </c>
      <c r="I207" s="131">
        <v>0</v>
      </c>
      <c r="J207" s="131">
        <v>0</v>
      </c>
      <c r="K207" s="131">
        <v>17244</v>
      </c>
      <c r="L207" s="131">
        <v>17244</v>
      </c>
      <c r="M207" s="131">
        <v>0</v>
      </c>
      <c r="N207" s="132">
        <f t="shared" si="33"/>
        <v>17244</v>
      </c>
      <c r="O207" s="132">
        <v>0</v>
      </c>
      <c r="P207" s="127">
        <f t="shared" si="31"/>
        <v>1</v>
      </c>
    </row>
    <row r="208" spans="1:16" ht="12.75" customHeight="1">
      <c r="A208" s="129"/>
      <c r="B208" s="135" t="s">
        <v>280</v>
      </c>
      <c r="C208" s="74" t="s">
        <v>243</v>
      </c>
      <c r="D208" s="131">
        <v>44040</v>
      </c>
      <c r="E208" s="131">
        <v>40253</v>
      </c>
      <c r="F208" s="131">
        <v>4948</v>
      </c>
      <c r="G208" s="131">
        <v>0</v>
      </c>
      <c r="H208" s="131">
        <v>51300</v>
      </c>
      <c r="I208" s="131">
        <v>0</v>
      </c>
      <c r="J208" s="131">
        <v>7460</v>
      </c>
      <c r="K208" s="131">
        <v>40735</v>
      </c>
      <c r="L208" s="131">
        <v>40735</v>
      </c>
      <c r="M208" s="131">
        <v>0</v>
      </c>
      <c r="N208" s="132">
        <f t="shared" si="33"/>
        <v>40735</v>
      </c>
      <c r="O208" s="132">
        <v>0</v>
      </c>
      <c r="P208" s="127">
        <f t="shared" si="31"/>
        <v>1</v>
      </c>
    </row>
    <row r="209" spans="1:16" ht="12" customHeight="1">
      <c r="A209" s="129"/>
      <c r="B209" s="135" t="s">
        <v>244</v>
      </c>
      <c r="C209" s="74" t="s">
        <v>245</v>
      </c>
      <c r="D209" s="131"/>
      <c r="E209" s="131">
        <v>5538</v>
      </c>
      <c r="F209" s="131">
        <v>680</v>
      </c>
      <c r="G209" s="131">
        <v>0</v>
      </c>
      <c r="H209" s="131">
        <v>7030</v>
      </c>
      <c r="I209" s="131">
        <v>0</v>
      </c>
      <c r="J209" s="131">
        <v>934</v>
      </c>
      <c r="K209" s="131">
        <v>6090</v>
      </c>
      <c r="L209" s="131">
        <v>6090</v>
      </c>
      <c r="M209" s="131">
        <v>0</v>
      </c>
      <c r="N209" s="132">
        <f t="shared" si="33"/>
        <v>6090</v>
      </c>
      <c r="O209" s="132">
        <v>0</v>
      </c>
      <c r="P209" s="127">
        <f t="shared" si="31"/>
        <v>1</v>
      </c>
    </row>
    <row r="210" spans="1:16" ht="15" customHeight="1" hidden="1">
      <c r="A210" s="129"/>
      <c r="B210" s="130"/>
      <c r="C210" s="131" t="s">
        <v>281</v>
      </c>
      <c r="D210" s="131">
        <v>15416</v>
      </c>
      <c r="E210" s="131">
        <v>353</v>
      </c>
      <c r="F210" s="131">
        <v>0</v>
      </c>
      <c r="G210" s="131">
        <v>0</v>
      </c>
      <c r="H210" s="131"/>
      <c r="I210" s="131"/>
      <c r="J210" s="131"/>
      <c r="K210" s="131">
        <f>H210+I210-J210</f>
        <v>0</v>
      </c>
      <c r="L210" s="131"/>
      <c r="M210" s="131">
        <v>0</v>
      </c>
      <c r="N210" s="132">
        <f t="shared" si="33"/>
        <v>0</v>
      </c>
      <c r="O210" s="132">
        <v>0</v>
      </c>
      <c r="P210" s="127" t="e">
        <f t="shared" si="31"/>
        <v>#DIV/0!</v>
      </c>
    </row>
    <row r="211" spans="1:16" ht="12" customHeight="1">
      <c r="A211" s="129"/>
      <c r="B211" s="130" t="s">
        <v>225</v>
      </c>
      <c r="C211" s="131" t="s">
        <v>362</v>
      </c>
      <c r="D211" s="131"/>
      <c r="E211" s="131">
        <v>1700</v>
      </c>
      <c r="F211" s="131">
        <v>0</v>
      </c>
      <c r="G211" s="131">
        <v>0</v>
      </c>
      <c r="H211" s="131">
        <v>300</v>
      </c>
      <c r="I211" s="131">
        <v>0</v>
      </c>
      <c r="J211" s="131">
        <v>0</v>
      </c>
      <c r="K211" s="131">
        <v>52685</v>
      </c>
      <c r="L211" s="131">
        <v>52685</v>
      </c>
      <c r="M211" s="131">
        <v>0</v>
      </c>
      <c r="N211" s="132">
        <f t="shared" si="33"/>
        <v>52685</v>
      </c>
      <c r="O211" s="132">
        <v>0</v>
      </c>
      <c r="P211" s="127">
        <f t="shared" si="31"/>
        <v>1</v>
      </c>
    </row>
    <row r="212" spans="1:16" ht="12" customHeight="1">
      <c r="A212" s="129"/>
      <c r="B212" s="130" t="s">
        <v>250</v>
      </c>
      <c r="C212" s="131" t="s">
        <v>266</v>
      </c>
      <c r="D212" s="131"/>
      <c r="E212" s="131"/>
      <c r="F212" s="131"/>
      <c r="G212" s="131"/>
      <c r="H212" s="131"/>
      <c r="I212" s="131"/>
      <c r="J212" s="131"/>
      <c r="K212" s="131">
        <v>2000</v>
      </c>
      <c r="L212" s="131">
        <v>2000</v>
      </c>
      <c r="M212" s="131">
        <v>0</v>
      </c>
      <c r="N212" s="132">
        <f t="shared" si="33"/>
        <v>2000</v>
      </c>
      <c r="O212" s="132">
        <v>0</v>
      </c>
      <c r="P212" s="127">
        <f t="shared" si="31"/>
        <v>1</v>
      </c>
    </row>
    <row r="213" spans="1:16" ht="12.75" customHeight="1">
      <c r="A213" s="129"/>
      <c r="B213" s="130" t="s">
        <v>228</v>
      </c>
      <c r="C213" s="131" t="s">
        <v>290</v>
      </c>
      <c r="D213" s="131"/>
      <c r="E213" s="131"/>
      <c r="F213" s="131"/>
      <c r="G213" s="131"/>
      <c r="H213" s="131">
        <v>1700</v>
      </c>
      <c r="I213" s="131">
        <v>0</v>
      </c>
      <c r="J213" s="131">
        <v>0</v>
      </c>
      <c r="K213" s="131">
        <v>3500</v>
      </c>
      <c r="L213" s="131">
        <v>3500</v>
      </c>
      <c r="M213" s="131">
        <v>0</v>
      </c>
      <c r="N213" s="132">
        <f t="shared" si="33"/>
        <v>3500</v>
      </c>
      <c r="O213" s="132">
        <v>0</v>
      </c>
      <c r="P213" s="127">
        <f t="shared" si="31"/>
        <v>1</v>
      </c>
    </row>
    <row r="214" spans="1:16" ht="13.5" customHeight="1">
      <c r="A214" s="129"/>
      <c r="B214" s="130" t="s">
        <v>221</v>
      </c>
      <c r="C214" s="131" t="s">
        <v>222</v>
      </c>
      <c r="D214" s="131"/>
      <c r="E214" s="131">
        <v>15689</v>
      </c>
      <c r="F214" s="131">
        <v>0</v>
      </c>
      <c r="G214" s="131">
        <v>0</v>
      </c>
      <c r="H214" s="131">
        <v>14740</v>
      </c>
      <c r="I214" s="131">
        <v>0</v>
      </c>
      <c r="J214" s="131">
        <v>0</v>
      </c>
      <c r="K214" s="131">
        <v>12924</v>
      </c>
      <c r="L214" s="131">
        <v>12924</v>
      </c>
      <c r="M214" s="131">
        <v>0</v>
      </c>
      <c r="N214" s="132">
        <f t="shared" si="33"/>
        <v>12924</v>
      </c>
      <c r="O214" s="132">
        <v>0</v>
      </c>
      <c r="P214" s="127">
        <f t="shared" si="31"/>
        <v>1</v>
      </c>
    </row>
    <row r="215" spans="1:16" ht="13.5" customHeight="1">
      <c r="A215" s="129"/>
      <c r="B215" s="130" t="s">
        <v>260</v>
      </c>
      <c r="C215" s="131" t="s">
        <v>282</v>
      </c>
      <c r="D215" s="131"/>
      <c r="E215" s="131"/>
      <c r="F215" s="131"/>
      <c r="G215" s="131"/>
      <c r="H215" s="131"/>
      <c r="I215" s="131"/>
      <c r="J215" s="131"/>
      <c r="K215" s="131">
        <v>2500</v>
      </c>
      <c r="L215" s="131">
        <v>2500</v>
      </c>
      <c r="M215" s="131">
        <v>0</v>
      </c>
      <c r="N215" s="132">
        <f t="shared" si="33"/>
        <v>2500</v>
      </c>
      <c r="O215" s="132">
        <v>0</v>
      </c>
      <c r="P215" s="127">
        <f t="shared" si="31"/>
        <v>1</v>
      </c>
    </row>
    <row r="216" spans="1:16" ht="22.5" customHeight="1">
      <c r="A216" s="129"/>
      <c r="B216" s="130" t="s">
        <v>358</v>
      </c>
      <c r="C216" s="74" t="s">
        <v>359</v>
      </c>
      <c r="D216" s="131"/>
      <c r="E216" s="131"/>
      <c r="F216" s="131"/>
      <c r="G216" s="131"/>
      <c r="H216" s="131">
        <v>50835</v>
      </c>
      <c r="I216" s="131">
        <v>0</v>
      </c>
      <c r="J216" s="131">
        <v>0</v>
      </c>
      <c r="K216" s="131">
        <v>147846</v>
      </c>
      <c r="L216" s="131">
        <v>147846</v>
      </c>
      <c r="M216" s="131">
        <v>0</v>
      </c>
      <c r="N216" s="132">
        <f t="shared" si="33"/>
        <v>147846</v>
      </c>
      <c r="O216" s="132">
        <v>0</v>
      </c>
      <c r="P216" s="127">
        <f t="shared" si="31"/>
        <v>1</v>
      </c>
    </row>
    <row r="217" spans="1:16" ht="15.75" customHeight="1">
      <c r="A217" s="449" t="s">
        <v>122</v>
      </c>
      <c r="B217" s="459"/>
      <c r="C217" s="451" t="s">
        <v>121</v>
      </c>
      <c r="D217" s="451" t="e">
        <f>D219+D220+D221+#REF!+D225+#REF!</f>
        <v>#REF!</v>
      </c>
      <c r="E217" s="451" t="e">
        <f>E219+E220+E221+E222+#REF!+#REF!+E225+E227+E228+#REF!+E230+E232+#REF!+E233+E235+#REF!</f>
        <v>#REF!</v>
      </c>
      <c r="F217" s="451" t="e">
        <f>F219+F220+F221+F222+#REF!+#REF!+F225+F227+F228+#REF!+F230+F232+#REF!+F233+F235+#REF!</f>
        <v>#REF!</v>
      </c>
      <c r="G217" s="451" t="e">
        <f>G219+G220+G221+G222+#REF!+#REF!+G225+G227+G228+#REF!+G230+G232+#REF!+G233+G235+#REF!</f>
        <v>#REF!</v>
      </c>
      <c r="H217" s="451" t="e">
        <f>H219+H220+H221+H222+#REF!+#REF!+H225+H226+H227+H228+#REF!+H230+H232+#REF!+H233+H235+H234</f>
        <v>#REF!</v>
      </c>
      <c r="I217" s="451" t="e">
        <f>I219+I220+I221+I222+#REF!+#REF!+I225+I226+I227+I228+#REF!+I230+I232+#REF!+I233+I235+I234</f>
        <v>#REF!</v>
      </c>
      <c r="J217" s="451" t="e">
        <f>J219+J220+J221+J222+#REF!+#REF!+J225+J226+J227+J228+#REF!+J230+J232+#REF!+J233+J235+J234</f>
        <v>#REF!</v>
      </c>
      <c r="K217" s="451">
        <f>K218+K219+K220+K221+K222+K223+K224+K225+K226+K228+K229+K230+K231+K232+K233+K234+K235</f>
        <v>2286600</v>
      </c>
      <c r="L217" s="451">
        <f>L218+L219+L220+L221+L222+L223+L224+L225+L226+L228+L229+L230+L231+L232+L233+L234+L235</f>
        <v>2286600</v>
      </c>
      <c r="M217" s="451">
        <f>M218+M219+M220+M221+M222+M223+M224+M225+M226+M228+M229+M230+M231+M232+M233+M234+M235</f>
        <v>0</v>
      </c>
      <c r="N217" s="451">
        <f>N218+N219+N220+N221+N222+N223+N224+N225+N226+N228+N229+N230+N231+N232+N233+N234+N235</f>
        <v>2286600</v>
      </c>
      <c r="O217" s="451">
        <f>O218+O219+O220+O221+O222+O223+O224+O225+O226+O228+O229+O230+O231+O232+O233+O234+O235</f>
        <v>0</v>
      </c>
      <c r="P217" s="452">
        <f t="shared" si="31"/>
        <v>1</v>
      </c>
    </row>
    <row r="218" spans="1:16" ht="14.25" customHeight="1">
      <c r="A218" s="129"/>
      <c r="B218" s="130" t="s">
        <v>215</v>
      </c>
      <c r="C218" s="131" t="s">
        <v>363</v>
      </c>
      <c r="D218" s="131"/>
      <c r="E218" s="131"/>
      <c r="F218" s="131"/>
      <c r="G218" s="131"/>
      <c r="H218" s="131"/>
      <c r="I218" s="131"/>
      <c r="J218" s="131"/>
      <c r="K218" s="131">
        <v>22660</v>
      </c>
      <c r="L218" s="131">
        <v>22660</v>
      </c>
      <c r="M218" s="131">
        <v>0</v>
      </c>
      <c r="N218" s="132">
        <f aca="true" t="shared" si="34" ref="N218:N235">L218</f>
        <v>22660</v>
      </c>
      <c r="O218" s="131">
        <v>0</v>
      </c>
      <c r="P218" s="127">
        <f t="shared" si="31"/>
        <v>1</v>
      </c>
    </row>
    <row r="219" spans="1:16" ht="13.5" customHeight="1">
      <c r="A219" s="134"/>
      <c r="B219" s="130" t="s">
        <v>238</v>
      </c>
      <c r="C219" s="74" t="s">
        <v>277</v>
      </c>
      <c r="D219" s="131">
        <v>1980166</v>
      </c>
      <c r="E219" s="131">
        <v>1975260</v>
      </c>
      <c r="F219" s="131">
        <v>27891</v>
      </c>
      <c r="G219" s="131">
        <v>26283</v>
      </c>
      <c r="H219" s="131">
        <v>1155704</v>
      </c>
      <c r="I219" s="131">
        <v>16889</v>
      </c>
      <c r="J219" s="131">
        <v>0</v>
      </c>
      <c r="K219" s="131">
        <v>1240533</v>
      </c>
      <c r="L219" s="131">
        <v>1240533</v>
      </c>
      <c r="M219" s="131">
        <v>0</v>
      </c>
      <c r="N219" s="132">
        <f t="shared" si="34"/>
        <v>1240533</v>
      </c>
      <c r="O219" s="132">
        <v>0</v>
      </c>
      <c r="P219" s="127">
        <f t="shared" si="31"/>
        <v>1</v>
      </c>
    </row>
    <row r="220" spans="1:16" ht="13.5" customHeight="1">
      <c r="A220" s="134"/>
      <c r="B220" s="130" t="s">
        <v>240</v>
      </c>
      <c r="C220" s="74" t="s">
        <v>241</v>
      </c>
      <c r="D220" s="131">
        <v>123848</v>
      </c>
      <c r="E220" s="131">
        <v>159042</v>
      </c>
      <c r="F220" s="131">
        <v>0</v>
      </c>
      <c r="G220" s="131">
        <v>0</v>
      </c>
      <c r="H220" s="131">
        <v>76054</v>
      </c>
      <c r="I220" s="131">
        <v>0</v>
      </c>
      <c r="J220" s="131">
        <v>0</v>
      </c>
      <c r="K220" s="131">
        <v>93140</v>
      </c>
      <c r="L220" s="131">
        <v>93140</v>
      </c>
      <c r="M220" s="131">
        <v>0</v>
      </c>
      <c r="N220" s="132">
        <f t="shared" si="34"/>
        <v>93140</v>
      </c>
      <c r="O220" s="132">
        <v>0</v>
      </c>
      <c r="P220" s="127">
        <f t="shared" si="31"/>
        <v>1</v>
      </c>
    </row>
    <row r="221" spans="1:16" ht="14.25" customHeight="1">
      <c r="A221" s="134"/>
      <c r="B221" s="135" t="s">
        <v>280</v>
      </c>
      <c r="C221" s="74" t="s">
        <v>288</v>
      </c>
      <c r="D221" s="131">
        <v>414136</v>
      </c>
      <c r="E221" s="131">
        <v>370552</v>
      </c>
      <c r="F221" s="131">
        <v>2840</v>
      </c>
      <c r="G221" s="131">
        <v>2000</v>
      </c>
      <c r="H221" s="131">
        <v>214800</v>
      </c>
      <c r="I221" s="131">
        <v>0</v>
      </c>
      <c r="J221" s="131">
        <v>8686</v>
      </c>
      <c r="K221" s="131">
        <v>232699</v>
      </c>
      <c r="L221" s="131">
        <v>232699</v>
      </c>
      <c r="M221" s="131">
        <v>0</v>
      </c>
      <c r="N221" s="132">
        <f t="shared" si="34"/>
        <v>232699</v>
      </c>
      <c r="O221" s="132">
        <v>0</v>
      </c>
      <c r="P221" s="127">
        <f t="shared" si="31"/>
        <v>1</v>
      </c>
    </row>
    <row r="222" spans="1:16" ht="13.5" customHeight="1">
      <c r="A222" s="134"/>
      <c r="B222" s="135" t="s">
        <v>244</v>
      </c>
      <c r="C222" s="74" t="s">
        <v>245</v>
      </c>
      <c r="D222" s="131"/>
      <c r="E222" s="131">
        <v>50795</v>
      </c>
      <c r="F222" s="131">
        <v>390</v>
      </c>
      <c r="G222" s="131">
        <v>165</v>
      </c>
      <c r="H222" s="131">
        <v>29560</v>
      </c>
      <c r="I222" s="131">
        <v>506</v>
      </c>
      <c r="J222" s="131">
        <v>341</v>
      </c>
      <c r="K222" s="131">
        <v>32747</v>
      </c>
      <c r="L222" s="131">
        <v>32747</v>
      </c>
      <c r="M222" s="131">
        <v>0</v>
      </c>
      <c r="N222" s="132">
        <f t="shared" si="34"/>
        <v>32747</v>
      </c>
      <c r="O222" s="132">
        <v>0</v>
      </c>
      <c r="P222" s="127">
        <f t="shared" si="31"/>
        <v>1</v>
      </c>
    </row>
    <row r="223" spans="1:16" ht="13.5" customHeight="1">
      <c r="A223" s="134"/>
      <c r="B223" s="130" t="s">
        <v>247</v>
      </c>
      <c r="C223" s="131" t="s">
        <v>248</v>
      </c>
      <c r="D223" s="131"/>
      <c r="E223" s="131"/>
      <c r="F223" s="131"/>
      <c r="G223" s="131"/>
      <c r="H223" s="131"/>
      <c r="I223" s="131"/>
      <c r="J223" s="131"/>
      <c r="K223" s="131">
        <v>3770</v>
      </c>
      <c r="L223" s="131">
        <v>3770</v>
      </c>
      <c r="M223" s="131">
        <v>0</v>
      </c>
      <c r="N223" s="132">
        <f t="shared" si="34"/>
        <v>3770</v>
      </c>
      <c r="O223" s="132">
        <v>0</v>
      </c>
      <c r="P223" s="127">
        <f t="shared" si="31"/>
        <v>1</v>
      </c>
    </row>
    <row r="224" spans="1:16" ht="13.5" customHeight="1">
      <c r="A224" s="134"/>
      <c r="B224" s="130" t="s">
        <v>665</v>
      </c>
      <c r="C224" s="131" t="s">
        <v>666</v>
      </c>
      <c r="D224" s="131"/>
      <c r="E224" s="131"/>
      <c r="F224" s="131"/>
      <c r="G224" s="131"/>
      <c r="H224" s="131"/>
      <c r="I224" s="131"/>
      <c r="J224" s="131"/>
      <c r="K224" s="131">
        <v>1000</v>
      </c>
      <c r="L224" s="131">
        <v>1000</v>
      </c>
      <c r="M224" s="131">
        <v>0</v>
      </c>
      <c r="N224" s="132">
        <f t="shared" si="34"/>
        <v>1000</v>
      </c>
      <c r="O224" s="132">
        <v>0</v>
      </c>
      <c r="P224" s="127">
        <f t="shared" si="31"/>
        <v>1</v>
      </c>
    </row>
    <row r="225" spans="1:16" ht="14.25" customHeight="1">
      <c r="A225" s="134"/>
      <c r="B225" s="133">
        <v>4210</v>
      </c>
      <c r="C225" s="131" t="s">
        <v>249</v>
      </c>
      <c r="D225" s="131" t="e">
        <f>D227+#REF!</f>
        <v>#REF!</v>
      </c>
      <c r="E225" s="131">
        <v>110063</v>
      </c>
      <c r="F225" s="131">
        <v>262</v>
      </c>
      <c r="G225" s="131">
        <v>0</v>
      </c>
      <c r="H225" s="131">
        <v>104500</v>
      </c>
      <c r="I225" s="131">
        <v>1102</v>
      </c>
      <c r="J225" s="131">
        <v>3633</v>
      </c>
      <c r="K225" s="131">
        <v>162321</v>
      </c>
      <c r="L225" s="131">
        <v>162321</v>
      </c>
      <c r="M225" s="131">
        <v>0</v>
      </c>
      <c r="N225" s="132">
        <f t="shared" si="34"/>
        <v>162321</v>
      </c>
      <c r="O225" s="132">
        <v>0</v>
      </c>
      <c r="P225" s="127">
        <f t="shared" si="31"/>
        <v>1</v>
      </c>
    </row>
    <row r="226" spans="1:16" ht="14.25" customHeight="1">
      <c r="A226" s="134"/>
      <c r="B226" s="133">
        <v>4240</v>
      </c>
      <c r="C226" s="131" t="s">
        <v>364</v>
      </c>
      <c r="D226" s="131"/>
      <c r="E226" s="131"/>
      <c r="F226" s="131"/>
      <c r="G226" s="131"/>
      <c r="H226" s="131">
        <v>3000</v>
      </c>
      <c r="I226" s="131">
        <v>0</v>
      </c>
      <c r="J226" s="131">
        <v>0</v>
      </c>
      <c r="K226" s="131">
        <v>3638</v>
      </c>
      <c r="L226" s="131">
        <v>3638</v>
      </c>
      <c r="M226" s="131">
        <v>0</v>
      </c>
      <c r="N226" s="132">
        <f t="shared" si="34"/>
        <v>3638</v>
      </c>
      <c r="O226" s="132">
        <v>0</v>
      </c>
      <c r="P226" s="127">
        <f t="shared" si="31"/>
        <v>1</v>
      </c>
    </row>
    <row r="227" spans="1:16" ht="15" customHeight="1" hidden="1">
      <c r="A227" s="134"/>
      <c r="B227" s="130" t="s">
        <v>365</v>
      </c>
      <c r="C227" s="131" t="s">
        <v>366</v>
      </c>
      <c r="D227" s="131">
        <v>263344</v>
      </c>
      <c r="E227" s="131">
        <v>4750</v>
      </c>
      <c r="F227" s="131">
        <v>0</v>
      </c>
      <c r="G227" s="131">
        <v>0</v>
      </c>
      <c r="H227" s="131">
        <v>0</v>
      </c>
      <c r="I227" s="131">
        <v>0</v>
      </c>
      <c r="J227" s="131">
        <v>0</v>
      </c>
      <c r="K227" s="131">
        <f>H227+I227-J227</f>
        <v>0</v>
      </c>
      <c r="L227" s="131"/>
      <c r="M227" s="131">
        <v>0</v>
      </c>
      <c r="N227" s="132">
        <f t="shared" si="34"/>
        <v>0</v>
      </c>
      <c r="O227" s="132">
        <v>0</v>
      </c>
      <c r="P227" s="127" t="e">
        <f t="shared" si="31"/>
        <v>#DIV/0!</v>
      </c>
    </row>
    <row r="228" spans="1:16" ht="13.5" customHeight="1">
      <c r="A228" s="134"/>
      <c r="B228" s="130" t="s">
        <v>250</v>
      </c>
      <c r="C228" s="131" t="s">
        <v>266</v>
      </c>
      <c r="D228" s="131"/>
      <c r="E228" s="131">
        <v>137000</v>
      </c>
      <c r="F228" s="131">
        <v>8000</v>
      </c>
      <c r="G228" s="131">
        <v>0</v>
      </c>
      <c r="H228" s="131">
        <v>38000</v>
      </c>
      <c r="I228" s="131">
        <v>0</v>
      </c>
      <c r="J228" s="131">
        <v>2146</v>
      </c>
      <c r="K228" s="131">
        <v>27895</v>
      </c>
      <c r="L228" s="131">
        <v>27895</v>
      </c>
      <c r="M228" s="131">
        <v>0</v>
      </c>
      <c r="N228" s="132">
        <f t="shared" si="34"/>
        <v>27895</v>
      </c>
      <c r="O228" s="132">
        <v>0</v>
      </c>
      <c r="P228" s="127">
        <f aca="true" t="shared" si="35" ref="P228:P265">L228/K228</f>
        <v>1</v>
      </c>
    </row>
    <row r="229" spans="1:16" ht="13.5" customHeight="1">
      <c r="A229" s="134"/>
      <c r="B229" s="130" t="s">
        <v>252</v>
      </c>
      <c r="C229" s="131" t="s">
        <v>324</v>
      </c>
      <c r="D229" s="131"/>
      <c r="E229" s="131"/>
      <c r="F229" s="131"/>
      <c r="G229" s="131"/>
      <c r="H229" s="131"/>
      <c r="I229" s="131"/>
      <c r="J229" s="131"/>
      <c r="K229" s="131">
        <v>137500</v>
      </c>
      <c r="L229" s="131">
        <v>137500</v>
      </c>
      <c r="M229" s="131">
        <v>0</v>
      </c>
      <c r="N229" s="132">
        <f t="shared" si="34"/>
        <v>137500</v>
      </c>
      <c r="O229" s="132">
        <v>0</v>
      </c>
      <c r="P229" s="127">
        <f t="shared" si="35"/>
        <v>1</v>
      </c>
    </row>
    <row r="230" spans="1:16" ht="12.75" customHeight="1">
      <c r="A230" s="134"/>
      <c r="B230" s="130" t="s">
        <v>228</v>
      </c>
      <c r="C230" s="131" t="s">
        <v>229</v>
      </c>
      <c r="D230" s="131"/>
      <c r="E230" s="131">
        <v>58100</v>
      </c>
      <c r="F230" s="131">
        <v>0</v>
      </c>
      <c r="G230" s="131">
        <v>4500</v>
      </c>
      <c r="H230" s="131">
        <v>30000</v>
      </c>
      <c r="I230" s="131">
        <v>3000</v>
      </c>
      <c r="J230" s="131">
        <v>0</v>
      </c>
      <c r="K230" s="131">
        <v>31800</v>
      </c>
      <c r="L230" s="131">
        <v>31800</v>
      </c>
      <c r="M230" s="131">
        <v>0</v>
      </c>
      <c r="N230" s="132">
        <f t="shared" si="34"/>
        <v>31800</v>
      </c>
      <c r="O230" s="132">
        <v>0</v>
      </c>
      <c r="P230" s="127">
        <f t="shared" si="35"/>
        <v>1</v>
      </c>
    </row>
    <row r="231" spans="1:16" ht="12.75" customHeight="1">
      <c r="A231" s="134"/>
      <c r="B231" s="130" t="s">
        <v>667</v>
      </c>
      <c r="C231" s="131" t="s">
        <v>668</v>
      </c>
      <c r="D231" s="131"/>
      <c r="E231" s="131"/>
      <c r="F231" s="131"/>
      <c r="G231" s="131"/>
      <c r="H231" s="131"/>
      <c r="I231" s="131"/>
      <c r="J231" s="131"/>
      <c r="K231" s="131">
        <v>3323</v>
      </c>
      <c r="L231" s="131">
        <v>3323</v>
      </c>
      <c r="M231" s="131"/>
      <c r="N231" s="132">
        <f t="shared" si="34"/>
        <v>3323</v>
      </c>
      <c r="O231" s="132"/>
      <c r="P231" s="127">
        <f t="shared" si="35"/>
        <v>1</v>
      </c>
    </row>
    <row r="232" spans="1:16" ht="13.5" customHeight="1">
      <c r="A232" s="134"/>
      <c r="B232" s="130" t="s">
        <v>254</v>
      </c>
      <c r="C232" s="131" t="s">
        <v>255</v>
      </c>
      <c r="D232" s="131"/>
      <c r="E232" s="131">
        <v>7500</v>
      </c>
      <c r="F232" s="131">
        <v>1200</v>
      </c>
      <c r="G232" s="131">
        <v>0</v>
      </c>
      <c r="H232" s="131">
        <v>3500</v>
      </c>
      <c r="I232" s="131">
        <v>0</v>
      </c>
      <c r="J232" s="131">
        <v>0</v>
      </c>
      <c r="K232" s="131">
        <v>3714</v>
      </c>
      <c r="L232" s="131">
        <v>3714</v>
      </c>
      <c r="M232" s="131">
        <v>0</v>
      </c>
      <c r="N232" s="132">
        <f t="shared" si="34"/>
        <v>3714</v>
      </c>
      <c r="O232" s="132">
        <v>0</v>
      </c>
      <c r="P232" s="127">
        <f t="shared" si="35"/>
        <v>1</v>
      </c>
    </row>
    <row r="233" spans="1:16" ht="13.5" customHeight="1">
      <c r="A233" s="134"/>
      <c r="B233" s="130" t="s">
        <v>221</v>
      </c>
      <c r="C233" s="131" t="s">
        <v>222</v>
      </c>
      <c r="D233" s="131"/>
      <c r="E233" s="131">
        <v>126309</v>
      </c>
      <c r="F233" s="131">
        <v>0</v>
      </c>
      <c r="G233" s="131">
        <v>700</v>
      </c>
      <c r="H233" s="131">
        <v>60789</v>
      </c>
      <c r="I233" s="131">
        <v>0</v>
      </c>
      <c r="J233" s="131">
        <v>0</v>
      </c>
      <c r="K233" s="131">
        <v>68763</v>
      </c>
      <c r="L233" s="131">
        <v>68763</v>
      </c>
      <c r="M233" s="131">
        <v>0</v>
      </c>
      <c r="N233" s="132">
        <f t="shared" si="34"/>
        <v>68763</v>
      </c>
      <c r="O233" s="132">
        <v>0</v>
      </c>
      <c r="P233" s="127">
        <f t="shared" si="35"/>
        <v>1</v>
      </c>
    </row>
    <row r="234" spans="1:16" ht="13.5" customHeight="1">
      <c r="A234" s="134"/>
      <c r="B234" s="130" t="s">
        <v>256</v>
      </c>
      <c r="C234" s="131" t="s">
        <v>257</v>
      </c>
      <c r="D234" s="131"/>
      <c r="E234" s="131"/>
      <c r="F234" s="131"/>
      <c r="G234" s="131"/>
      <c r="H234" s="131">
        <v>1021</v>
      </c>
      <c r="I234" s="131">
        <v>0</v>
      </c>
      <c r="J234" s="131">
        <v>0</v>
      </c>
      <c r="K234" s="131">
        <v>1068</v>
      </c>
      <c r="L234" s="131">
        <v>1068</v>
      </c>
      <c r="M234" s="131">
        <v>0</v>
      </c>
      <c r="N234" s="132">
        <f t="shared" si="34"/>
        <v>1068</v>
      </c>
      <c r="O234" s="132">
        <v>0</v>
      </c>
      <c r="P234" s="127">
        <f t="shared" si="35"/>
        <v>1</v>
      </c>
    </row>
    <row r="235" spans="1:16" ht="21.75" customHeight="1">
      <c r="A235" s="134"/>
      <c r="B235" s="130" t="s">
        <v>358</v>
      </c>
      <c r="C235" s="74" t="s">
        <v>367</v>
      </c>
      <c r="D235" s="131"/>
      <c r="E235" s="131" t="e">
        <f>#REF!+#REF!</f>
        <v>#REF!</v>
      </c>
      <c r="F235" s="131" t="e">
        <f>#REF!+#REF!</f>
        <v>#REF!</v>
      </c>
      <c r="G235" s="131" t="e">
        <f>#REF!+#REF!</f>
        <v>#REF!</v>
      </c>
      <c r="H235" s="131" t="e">
        <f>#REF!+#REF!+#REF!</f>
        <v>#REF!</v>
      </c>
      <c r="I235" s="131" t="e">
        <f>#REF!+#REF!+#REF!</f>
        <v>#REF!</v>
      </c>
      <c r="J235" s="131" t="e">
        <f>#REF!+#REF!+#REF!</f>
        <v>#REF!</v>
      </c>
      <c r="K235" s="131">
        <v>220029</v>
      </c>
      <c r="L235" s="131">
        <v>220029</v>
      </c>
      <c r="M235" s="131">
        <v>0</v>
      </c>
      <c r="N235" s="132">
        <f t="shared" si="34"/>
        <v>220029</v>
      </c>
      <c r="O235" s="131">
        <v>0</v>
      </c>
      <c r="P235" s="127">
        <f t="shared" si="35"/>
        <v>1</v>
      </c>
    </row>
    <row r="236" spans="1:16" ht="15" customHeight="1">
      <c r="A236" s="448" t="s">
        <v>368</v>
      </c>
      <c r="B236" s="451"/>
      <c r="C236" s="451" t="s">
        <v>369</v>
      </c>
      <c r="D236" s="451"/>
      <c r="E236" s="451"/>
      <c r="F236" s="451"/>
      <c r="G236" s="451"/>
      <c r="H236" s="451">
        <f>H237+H239+H240+H242+H243+H244+H245+H246</f>
        <v>513949</v>
      </c>
      <c r="I236" s="451">
        <f>I237+I239+I240+I242+I243+I244+I245+I246</f>
        <v>61663</v>
      </c>
      <c r="J236" s="451">
        <f>J237+J239+J240+J242+J243+J244+J245+J246</f>
        <v>12187</v>
      </c>
      <c r="K236" s="451">
        <f>K237+K238+K239+K240+K242+K243+K244+K245</f>
        <v>1063252</v>
      </c>
      <c r="L236" s="451">
        <f>L237+L238+L239+L240+L242+L243+L244+L245</f>
        <v>1063252</v>
      </c>
      <c r="M236" s="451">
        <f>M237+M238+M239+M240+M242+M243+M244+M245</f>
        <v>0</v>
      </c>
      <c r="N236" s="451">
        <f>N237+N238+N239+N240+N242+N243+N244+N245</f>
        <v>1063252</v>
      </c>
      <c r="O236" s="451">
        <f>O237+O238+O239+O240+O242+O243+O244+O245</f>
        <v>0</v>
      </c>
      <c r="P236" s="452">
        <f t="shared" si="35"/>
        <v>1</v>
      </c>
    </row>
    <row r="237" spans="1:16" ht="13.5" customHeight="1">
      <c r="A237" s="134"/>
      <c r="B237" s="131">
        <v>4010</v>
      </c>
      <c r="C237" s="74" t="s">
        <v>287</v>
      </c>
      <c r="D237" s="131"/>
      <c r="E237" s="131"/>
      <c r="F237" s="131"/>
      <c r="G237" s="131"/>
      <c r="H237" s="131">
        <v>365584</v>
      </c>
      <c r="I237" s="131">
        <v>49653</v>
      </c>
      <c r="J237" s="131">
        <v>5202</v>
      </c>
      <c r="K237" s="131">
        <v>713511</v>
      </c>
      <c r="L237" s="131">
        <v>713511</v>
      </c>
      <c r="M237" s="131">
        <v>0</v>
      </c>
      <c r="N237" s="132">
        <f aca="true" t="shared" si="36" ref="N237:N245">L237</f>
        <v>713511</v>
      </c>
      <c r="O237" s="132">
        <v>0</v>
      </c>
      <c r="P237" s="127">
        <f t="shared" si="35"/>
        <v>1</v>
      </c>
    </row>
    <row r="238" spans="1:16" ht="12.75" customHeight="1">
      <c r="A238" s="134"/>
      <c r="B238" s="131">
        <v>4040</v>
      </c>
      <c r="C238" s="74" t="s">
        <v>370</v>
      </c>
      <c r="D238" s="131"/>
      <c r="E238" s="131"/>
      <c r="F238" s="131"/>
      <c r="G238" s="131"/>
      <c r="H238" s="131"/>
      <c r="I238" s="131"/>
      <c r="J238" s="131"/>
      <c r="K238" s="131">
        <v>47493</v>
      </c>
      <c r="L238" s="131">
        <v>47493</v>
      </c>
      <c r="M238" s="131">
        <v>0</v>
      </c>
      <c r="N238" s="132">
        <f t="shared" si="36"/>
        <v>47493</v>
      </c>
      <c r="O238" s="132">
        <v>0</v>
      </c>
      <c r="P238" s="127">
        <f t="shared" si="35"/>
        <v>1</v>
      </c>
    </row>
    <row r="239" spans="1:16" ht="13.5" customHeight="1">
      <c r="A239" s="134"/>
      <c r="B239" s="131">
        <v>4110</v>
      </c>
      <c r="C239" s="74" t="s">
        <v>288</v>
      </c>
      <c r="D239" s="131"/>
      <c r="E239" s="131"/>
      <c r="F239" s="131"/>
      <c r="G239" s="131"/>
      <c r="H239" s="131">
        <v>63006</v>
      </c>
      <c r="I239" s="131">
        <v>9502</v>
      </c>
      <c r="J239" s="131">
        <v>6195</v>
      </c>
      <c r="K239" s="131">
        <v>131118</v>
      </c>
      <c r="L239" s="131">
        <v>131118</v>
      </c>
      <c r="M239" s="131">
        <v>0</v>
      </c>
      <c r="N239" s="132">
        <f t="shared" si="36"/>
        <v>131118</v>
      </c>
      <c r="O239" s="132">
        <v>0</v>
      </c>
      <c r="P239" s="127">
        <f t="shared" si="35"/>
        <v>1</v>
      </c>
    </row>
    <row r="240" spans="1:16" ht="12.75" customHeight="1">
      <c r="A240" s="134"/>
      <c r="B240" s="131">
        <v>4120</v>
      </c>
      <c r="C240" s="74" t="s">
        <v>245</v>
      </c>
      <c r="D240" s="131"/>
      <c r="E240" s="131"/>
      <c r="F240" s="131"/>
      <c r="G240" s="131"/>
      <c r="H240" s="131">
        <v>8338</v>
      </c>
      <c r="I240" s="131">
        <v>1537</v>
      </c>
      <c r="J240" s="131">
        <v>790</v>
      </c>
      <c r="K240" s="131">
        <v>18210</v>
      </c>
      <c r="L240" s="131">
        <v>18210</v>
      </c>
      <c r="M240" s="131">
        <v>0</v>
      </c>
      <c r="N240" s="132">
        <f t="shared" si="36"/>
        <v>18210</v>
      </c>
      <c r="O240" s="132">
        <v>0</v>
      </c>
      <c r="P240" s="127">
        <f t="shared" si="35"/>
        <v>1</v>
      </c>
    </row>
    <row r="241" spans="1:16" ht="13.5" customHeight="1" hidden="1">
      <c r="A241" s="134"/>
      <c r="B241" s="131"/>
      <c r="C241" s="131" t="s">
        <v>371</v>
      </c>
      <c r="D241" s="131"/>
      <c r="E241" s="131"/>
      <c r="F241" s="131"/>
      <c r="G241" s="131"/>
      <c r="H241" s="131">
        <v>0</v>
      </c>
      <c r="I241" s="131">
        <v>0</v>
      </c>
      <c r="J241" s="131">
        <v>0</v>
      </c>
      <c r="K241" s="131">
        <f>H241+I241-J241</f>
        <v>0</v>
      </c>
      <c r="L241" s="131"/>
      <c r="M241" s="131">
        <v>0</v>
      </c>
      <c r="N241" s="132">
        <f t="shared" si="36"/>
        <v>0</v>
      </c>
      <c r="O241" s="132">
        <v>0</v>
      </c>
      <c r="P241" s="127" t="e">
        <f t="shared" si="35"/>
        <v>#DIV/0!</v>
      </c>
    </row>
    <row r="242" spans="1:16" ht="13.5" customHeight="1">
      <c r="A242" s="134"/>
      <c r="B242" s="131">
        <v>4210</v>
      </c>
      <c r="C242" s="131" t="s">
        <v>249</v>
      </c>
      <c r="D242" s="131"/>
      <c r="E242" s="131"/>
      <c r="F242" s="131"/>
      <c r="G242" s="131"/>
      <c r="H242" s="131">
        <v>44979</v>
      </c>
      <c r="I242" s="131">
        <v>0</v>
      </c>
      <c r="J242" s="131">
        <v>0</v>
      </c>
      <c r="K242" s="131">
        <v>82040</v>
      </c>
      <c r="L242" s="131">
        <v>82040</v>
      </c>
      <c r="M242" s="131">
        <v>0</v>
      </c>
      <c r="N242" s="132">
        <f t="shared" si="36"/>
        <v>82040</v>
      </c>
      <c r="O242" s="132">
        <v>0</v>
      </c>
      <c r="P242" s="127">
        <f t="shared" si="35"/>
        <v>1</v>
      </c>
    </row>
    <row r="243" spans="1:16" ht="13.5" customHeight="1">
      <c r="A243" s="134"/>
      <c r="B243" s="131">
        <v>4260</v>
      </c>
      <c r="C243" s="131" t="s">
        <v>266</v>
      </c>
      <c r="D243" s="131"/>
      <c r="E243" s="131"/>
      <c r="F243" s="131"/>
      <c r="G243" s="131"/>
      <c r="H243" s="131">
        <v>12000</v>
      </c>
      <c r="I243" s="131">
        <v>971</v>
      </c>
      <c r="J243" s="131">
        <v>0</v>
      </c>
      <c r="K243" s="131">
        <v>17008</v>
      </c>
      <c r="L243" s="131">
        <v>17008</v>
      </c>
      <c r="M243" s="131">
        <v>0</v>
      </c>
      <c r="N243" s="132">
        <f t="shared" si="36"/>
        <v>17008</v>
      </c>
      <c r="O243" s="132">
        <v>0</v>
      </c>
      <c r="P243" s="127">
        <f t="shared" si="35"/>
        <v>1</v>
      </c>
    </row>
    <row r="244" spans="1:16" ht="13.5" customHeight="1">
      <c r="A244" s="134"/>
      <c r="B244" s="131">
        <v>4300</v>
      </c>
      <c r="C244" s="131" t="s">
        <v>229</v>
      </c>
      <c r="D244" s="131"/>
      <c r="E244" s="131"/>
      <c r="F244" s="131"/>
      <c r="G244" s="131"/>
      <c r="H244" s="131">
        <v>4664</v>
      </c>
      <c r="I244" s="131">
        <v>0</v>
      </c>
      <c r="J244" s="131">
        <v>0</v>
      </c>
      <c r="K244" s="131">
        <v>10642</v>
      </c>
      <c r="L244" s="131">
        <v>10642</v>
      </c>
      <c r="M244" s="131">
        <v>0</v>
      </c>
      <c r="N244" s="132">
        <f t="shared" si="36"/>
        <v>10642</v>
      </c>
      <c r="O244" s="132">
        <v>0</v>
      </c>
      <c r="P244" s="127">
        <f t="shared" si="35"/>
        <v>1</v>
      </c>
    </row>
    <row r="245" spans="1:16" ht="13.5" customHeight="1">
      <c r="A245" s="134"/>
      <c r="B245" s="131">
        <v>4440</v>
      </c>
      <c r="C245" s="131" t="s">
        <v>222</v>
      </c>
      <c r="D245" s="131"/>
      <c r="E245" s="131"/>
      <c r="F245" s="131"/>
      <c r="G245" s="131"/>
      <c r="H245" s="131">
        <v>15378</v>
      </c>
      <c r="I245" s="131">
        <v>0</v>
      </c>
      <c r="J245" s="131">
        <v>0</v>
      </c>
      <c r="K245" s="131">
        <v>43230</v>
      </c>
      <c r="L245" s="131">
        <v>43230</v>
      </c>
      <c r="M245" s="131">
        <v>0</v>
      </c>
      <c r="N245" s="132">
        <f t="shared" si="36"/>
        <v>43230</v>
      </c>
      <c r="O245" s="132">
        <v>0</v>
      </c>
      <c r="P245" s="127">
        <f t="shared" si="35"/>
        <v>1</v>
      </c>
    </row>
    <row r="246" spans="1:16" ht="13.5" customHeight="1" hidden="1">
      <c r="A246" s="134"/>
      <c r="B246" s="131">
        <v>4480</v>
      </c>
      <c r="C246" s="131" t="s">
        <v>257</v>
      </c>
      <c r="D246" s="131"/>
      <c r="E246" s="131"/>
      <c r="F246" s="131"/>
      <c r="G246" s="131"/>
      <c r="H246" s="131">
        <v>0</v>
      </c>
      <c r="I246" s="131">
        <v>0</v>
      </c>
      <c r="J246" s="131">
        <v>0</v>
      </c>
      <c r="K246" s="131">
        <f>H246+I246-J246</f>
        <v>0</v>
      </c>
      <c r="L246" s="131"/>
      <c r="M246" s="131">
        <v>0</v>
      </c>
      <c r="N246" s="132">
        <f>K246</f>
        <v>0</v>
      </c>
      <c r="O246" s="132">
        <v>0</v>
      </c>
      <c r="P246" s="127" t="e">
        <f t="shared" si="35"/>
        <v>#DIV/0!</v>
      </c>
    </row>
    <row r="247" spans="1:16" ht="15" customHeight="1">
      <c r="A247" s="448" t="s">
        <v>125</v>
      </c>
      <c r="B247" s="460"/>
      <c r="C247" s="451" t="s">
        <v>124</v>
      </c>
      <c r="D247" s="451" t="e">
        <f>D249+D250+D251+#REF!</f>
        <v>#REF!</v>
      </c>
      <c r="E247" s="451" t="e">
        <f>E249+E250+E251+E252+#REF!+#REF!+E254+E255+E256+E257+E258+E260+#REF!+E262+E266+#REF!</f>
        <v>#REF!</v>
      </c>
      <c r="F247" s="451" t="e">
        <f>F249+F250+F251+F252+#REF!+#REF!+F254+F255+F256+F257+F258+F260+#REF!+F262+F266+#REF!</f>
        <v>#REF!</v>
      </c>
      <c r="G247" s="451" t="e">
        <f>G249+G250+G251+G252+#REF!+#REF!+G254+G255+G256+G257+G258+G260+#REF!+G262+G266+#REF!</f>
        <v>#REF!</v>
      </c>
      <c r="H247" s="451" t="e">
        <f>H249+H250+H251+H252+#REF!+#REF!+H254+H255+H256+H257+H258+H260+#REF!+H262+H266+#REF!+H253+H263+#REF!+#REF!</f>
        <v>#REF!</v>
      </c>
      <c r="I247" s="451" t="e">
        <f>I249+I250+I251+I252+#REF!+#REF!+I254+I255+I256+I257+I258+I260+#REF!+I262+I266+#REF!+I253+I263+#REF!+#REF!</f>
        <v>#REF!</v>
      </c>
      <c r="J247" s="451" t="e">
        <f>J249+J250+J251+J252+#REF!+#REF!+J254+J255+J256+J257+J258+J260+#REF!+J262+J266+#REF!+J253+J263+#REF!+#REF!</f>
        <v>#REF!</v>
      </c>
      <c r="K247" s="451">
        <f>K248+K249+K250+K251+K252+K253+K254+K255+K256+K257+K258+K259+K260+K261+K262+K263+K264+K265+K266</f>
        <v>4801080</v>
      </c>
      <c r="L247" s="451">
        <f>L248+L249+L250+L251+L252+L253+L254+L255+L256+L257+L258+L259+L260+L261+L262+L263+L264+L265+L266</f>
        <v>4801080</v>
      </c>
      <c r="M247" s="451">
        <f>M248+M249+M250+M251+M252+M253+M254+M255+M256+M257+M258+M259+M260+M261+M262+M263+M264+M265+M266</f>
        <v>0</v>
      </c>
      <c r="N247" s="451">
        <f>N248+N249+N250+N251+N252+N253+N254+N255+N256+N257+N258+N259+N260+N261+N262+N263+N264+N265+N266</f>
        <v>4801080</v>
      </c>
      <c r="O247" s="451">
        <f>O248+O249+O250+O251+O252+O253+O254+O255+O256+O257+O258+O259+O260+O261+O262+O263+O264+O265+O266</f>
        <v>0</v>
      </c>
      <c r="P247" s="452">
        <f t="shared" si="35"/>
        <v>1</v>
      </c>
    </row>
    <row r="248" spans="1:16" ht="12.75" customHeight="1">
      <c r="A248" s="123"/>
      <c r="B248" s="130" t="s">
        <v>215</v>
      </c>
      <c r="C248" s="131" t="s">
        <v>372</v>
      </c>
      <c r="D248" s="138"/>
      <c r="E248" s="138"/>
      <c r="F248" s="138"/>
      <c r="G248" s="138"/>
      <c r="H248" s="138"/>
      <c r="I248" s="138"/>
      <c r="J248" s="138"/>
      <c r="K248" s="131">
        <v>5258</v>
      </c>
      <c r="L248" s="131">
        <v>5258</v>
      </c>
      <c r="M248" s="131">
        <v>0</v>
      </c>
      <c r="N248" s="132">
        <f aca="true" t="shared" si="37" ref="N248:N266">L248</f>
        <v>5258</v>
      </c>
      <c r="O248" s="131">
        <v>0</v>
      </c>
      <c r="P248" s="127">
        <f t="shared" si="35"/>
        <v>1</v>
      </c>
    </row>
    <row r="249" spans="1:16" ht="12.75" customHeight="1">
      <c r="A249" s="134"/>
      <c r="B249" s="130" t="s">
        <v>238</v>
      </c>
      <c r="C249" s="74" t="s">
        <v>287</v>
      </c>
      <c r="D249" s="131">
        <v>1306363</v>
      </c>
      <c r="E249" s="131">
        <v>2620120</v>
      </c>
      <c r="F249" s="131">
        <v>76198</v>
      </c>
      <c r="G249" s="131">
        <v>0</v>
      </c>
      <c r="H249" s="131">
        <v>2483950</v>
      </c>
      <c r="I249" s="131">
        <v>24346</v>
      </c>
      <c r="J249" s="131">
        <v>5461</v>
      </c>
      <c r="K249" s="131">
        <v>2663738</v>
      </c>
      <c r="L249" s="131">
        <v>2663737</v>
      </c>
      <c r="M249" s="131">
        <v>0</v>
      </c>
      <c r="N249" s="132">
        <f t="shared" si="37"/>
        <v>2663737</v>
      </c>
      <c r="O249" s="132">
        <v>0</v>
      </c>
      <c r="P249" s="127">
        <f t="shared" si="35"/>
        <v>0.9999996245877034</v>
      </c>
    </row>
    <row r="250" spans="1:16" ht="13.5" customHeight="1">
      <c r="A250" s="134"/>
      <c r="B250" s="130" t="s">
        <v>240</v>
      </c>
      <c r="C250" s="74" t="s">
        <v>241</v>
      </c>
      <c r="D250" s="131">
        <v>74072</v>
      </c>
      <c r="E250" s="131">
        <v>90144</v>
      </c>
      <c r="F250" s="131">
        <v>0</v>
      </c>
      <c r="G250" s="131">
        <v>0</v>
      </c>
      <c r="H250" s="131">
        <v>229094</v>
      </c>
      <c r="I250" s="131">
        <v>0</v>
      </c>
      <c r="J250" s="131">
        <v>0</v>
      </c>
      <c r="K250" s="131">
        <v>224454</v>
      </c>
      <c r="L250" s="131">
        <v>224454</v>
      </c>
      <c r="M250" s="131">
        <v>0</v>
      </c>
      <c r="N250" s="132">
        <f t="shared" si="37"/>
        <v>224454</v>
      </c>
      <c r="O250" s="132">
        <v>0</v>
      </c>
      <c r="P250" s="127">
        <f t="shared" si="35"/>
        <v>1</v>
      </c>
    </row>
    <row r="251" spans="1:16" ht="12.75" customHeight="1">
      <c r="A251" s="134"/>
      <c r="B251" s="135" t="s">
        <v>280</v>
      </c>
      <c r="C251" s="74" t="s">
        <v>288</v>
      </c>
      <c r="D251" s="131">
        <v>239437</v>
      </c>
      <c r="E251" s="131">
        <v>480155</v>
      </c>
      <c r="F251" s="131">
        <v>6005</v>
      </c>
      <c r="G251" s="131">
        <v>0</v>
      </c>
      <c r="H251" s="131">
        <v>467044</v>
      </c>
      <c r="I251" s="131">
        <v>410</v>
      </c>
      <c r="J251" s="131">
        <v>1295</v>
      </c>
      <c r="K251" s="131">
        <v>509492</v>
      </c>
      <c r="L251" s="131">
        <v>509492</v>
      </c>
      <c r="M251" s="131">
        <v>0</v>
      </c>
      <c r="N251" s="132">
        <f t="shared" si="37"/>
        <v>509492</v>
      </c>
      <c r="O251" s="132">
        <v>0</v>
      </c>
      <c r="P251" s="127">
        <f t="shared" si="35"/>
        <v>1</v>
      </c>
    </row>
    <row r="252" spans="1:16" ht="12.75" customHeight="1">
      <c r="A252" s="134"/>
      <c r="B252" s="135" t="s">
        <v>244</v>
      </c>
      <c r="C252" s="74" t="s">
        <v>245</v>
      </c>
      <c r="D252" s="131"/>
      <c r="E252" s="131">
        <v>62713</v>
      </c>
      <c r="F252" s="131">
        <v>822</v>
      </c>
      <c r="G252" s="131">
        <v>0</v>
      </c>
      <c r="H252" s="131">
        <v>64278</v>
      </c>
      <c r="I252" s="131">
        <v>0</v>
      </c>
      <c r="J252" s="131">
        <v>957</v>
      </c>
      <c r="K252" s="131">
        <v>70322</v>
      </c>
      <c r="L252" s="131">
        <v>70322</v>
      </c>
      <c r="M252" s="131">
        <v>0</v>
      </c>
      <c r="N252" s="132">
        <f t="shared" si="37"/>
        <v>70322</v>
      </c>
      <c r="O252" s="132">
        <v>0</v>
      </c>
      <c r="P252" s="127">
        <f t="shared" si="35"/>
        <v>1</v>
      </c>
    </row>
    <row r="253" spans="1:16" ht="12.75" customHeight="1">
      <c r="A253" s="134"/>
      <c r="B253" s="130" t="s">
        <v>665</v>
      </c>
      <c r="C253" s="74" t="s">
        <v>666</v>
      </c>
      <c r="D253" s="131"/>
      <c r="E253" s="131"/>
      <c r="F253" s="131"/>
      <c r="G253" s="131"/>
      <c r="H253" s="131">
        <v>8642</v>
      </c>
      <c r="I253" s="131">
        <v>0</v>
      </c>
      <c r="J253" s="131">
        <v>4470</v>
      </c>
      <c r="K253" s="131">
        <v>3665</v>
      </c>
      <c r="L253" s="131">
        <v>3665</v>
      </c>
      <c r="M253" s="131">
        <v>0</v>
      </c>
      <c r="N253" s="132">
        <f t="shared" si="37"/>
        <v>3665</v>
      </c>
      <c r="O253" s="132">
        <v>0</v>
      </c>
      <c r="P253" s="127">
        <f t="shared" si="35"/>
        <v>1</v>
      </c>
    </row>
    <row r="254" spans="1:16" ht="12" customHeight="1">
      <c r="A254" s="134"/>
      <c r="B254" s="130" t="s">
        <v>225</v>
      </c>
      <c r="C254" s="131" t="s">
        <v>249</v>
      </c>
      <c r="D254" s="131"/>
      <c r="E254" s="131">
        <v>262668</v>
      </c>
      <c r="F254" s="131">
        <v>7750</v>
      </c>
      <c r="G254" s="131">
        <v>0</v>
      </c>
      <c r="H254" s="131">
        <v>439836</v>
      </c>
      <c r="I254" s="131">
        <v>26000</v>
      </c>
      <c r="J254" s="131">
        <v>18393</v>
      </c>
      <c r="K254" s="131">
        <v>650831</v>
      </c>
      <c r="L254" s="131">
        <v>650832</v>
      </c>
      <c r="M254" s="131">
        <v>0</v>
      </c>
      <c r="N254" s="132">
        <f t="shared" si="37"/>
        <v>650832</v>
      </c>
      <c r="O254" s="132">
        <v>0</v>
      </c>
      <c r="P254" s="127">
        <f t="shared" si="35"/>
        <v>1.000001536497186</v>
      </c>
    </row>
    <row r="255" spans="1:16" ht="13.5" customHeight="1">
      <c r="A255" s="134"/>
      <c r="B255" s="130" t="s">
        <v>373</v>
      </c>
      <c r="C255" s="131" t="s">
        <v>364</v>
      </c>
      <c r="D255" s="131"/>
      <c r="E255" s="131">
        <v>5206</v>
      </c>
      <c r="F255" s="131">
        <v>0</v>
      </c>
      <c r="G255" s="131">
        <v>1000</v>
      </c>
      <c r="H255" s="131">
        <v>6041</v>
      </c>
      <c r="I255" s="131">
        <v>0</v>
      </c>
      <c r="J255" s="131">
        <v>0</v>
      </c>
      <c r="K255" s="131">
        <v>6269</v>
      </c>
      <c r="L255" s="131">
        <v>6269</v>
      </c>
      <c r="M255" s="131">
        <v>0</v>
      </c>
      <c r="N255" s="132">
        <f t="shared" si="37"/>
        <v>6269</v>
      </c>
      <c r="O255" s="132">
        <v>0</v>
      </c>
      <c r="P255" s="127">
        <f t="shared" si="35"/>
        <v>1</v>
      </c>
    </row>
    <row r="256" spans="1:16" ht="12.75" customHeight="1">
      <c r="A256" s="134"/>
      <c r="B256" s="130" t="s">
        <v>250</v>
      </c>
      <c r="C256" s="131" t="s">
        <v>266</v>
      </c>
      <c r="D256" s="131"/>
      <c r="E256" s="131">
        <v>47707</v>
      </c>
      <c r="F256" s="131">
        <v>0</v>
      </c>
      <c r="G256" s="131">
        <v>3000</v>
      </c>
      <c r="H256" s="131">
        <v>85406</v>
      </c>
      <c r="I256" s="131">
        <v>400</v>
      </c>
      <c r="J256" s="131">
        <v>2456</v>
      </c>
      <c r="K256" s="131">
        <v>69060</v>
      </c>
      <c r="L256" s="131">
        <v>69060</v>
      </c>
      <c r="M256" s="131">
        <v>0</v>
      </c>
      <c r="N256" s="132">
        <f t="shared" si="37"/>
        <v>69060</v>
      </c>
      <c r="O256" s="132">
        <v>0</v>
      </c>
      <c r="P256" s="127">
        <f t="shared" si="35"/>
        <v>1</v>
      </c>
    </row>
    <row r="257" spans="1:16" ht="13.5" customHeight="1">
      <c r="A257" s="134"/>
      <c r="B257" s="130" t="s">
        <v>252</v>
      </c>
      <c r="C257" s="131" t="s">
        <v>324</v>
      </c>
      <c r="D257" s="131"/>
      <c r="E257" s="131">
        <v>55847</v>
      </c>
      <c r="F257" s="131">
        <v>0</v>
      </c>
      <c r="G257" s="131">
        <v>765</v>
      </c>
      <c r="H257" s="131">
        <v>241716</v>
      </c>
      <c r="I257" s="131">
        <v>0</v>
      </c>
      <c r="J257" s="131">
        <v>0</v>
      </c>
      <c r="K257" s="131">
        <v>144022</v>
      </c>
      <c r="L257" s="131">
        <v>144022</v>
      </c>
      <c r="M257" s="131">
        <v>0</v>
      </c>
      <c r="N257" s="132">
        <f t="shared" si="37"/>
        <v>144022</v>
      </c>
      <c r="O257" s="132">
        <v>0</v>
      </c>
      <c r="P257" s="127">
        <f t="shared" si="35"/>
        <v>1</v>
      </c>
    </row>
    <row r="258" spans="1:16" ht="14.25" customHeight="1">
      <c r="A258" s="134"/>
      <c r="B258" s="130" t="s">
        <v>228</v>
      </c>
      <c r="C258" s="131" t="s">
        <v>290</v>
      </c>
      <c r="D258" s="131"/>
      <c r="E258" s="131">
        <v>36614</v>
      </c>
      <c r="F258" s="131">
        <v>3715</v>
      </c>
      <c r="G258" s="131">
        <v>0</v>
      </c>
      <c r="H258" s="131">
        <v>99211</v>
      </c>
      <c r="I258" s="131">
        <v>7916</v>
      </c>
      <c r="J258" s="131">
        <v>0</v>
      </c>
      <c r="K258" s="131">
        <v>113747</v>
      </c>
      <c r="L258" s="131">
        <v>113748</v>
      </c>
      <c r="M258" s="131">
        <v>0</v>
      </c>
      <c r="N258" s="132">
        <f t="shared" si="37"/>
        <v>113748</v>
      </c>
      <c r="O258" s="132">
        <v>0</v>
      </c>
      <c r="P258" s="127">
        <f t="shared" si="35"/>
        <v>1.0000087914406535</v>
      </c>
    </row>
    <row r="259" spans="1:16" ht="14.25" customHeight="1">
      <c r="A259" s="134"/>
      <c r="B259" s="130" t="s">
        <v>667</v>
      </c>
      <c r="C259" s="131" t="s">
        <v>681</v>
      </c>
      <c r="D259" s="131"/>
      <c r="E259" s="131"/>
      <c r="F259" s="131"/>
      <c r="G259" s="131"/>
      <c r="H259" s="131"/>
      <c r="I259" s="131"/>
      <c r="J259" s="131"/>
      <c r="K259" s="131">
        <v>3283</v>
      </c>
      <c r="L259" s="131">
        <v>3282</v>
      </c>
      <c r="M259" s="131">
        <v>0</v>
      </c>
      <c r="N259" s="132">
        <f t="shared" si="37"/>
        <v>3282</v>
      </c>
      <c r="O259" s="132">
        <v>0</v>
      </c>
      <c r="P259" s="127">
        <f t="shared" si="35"/>
        <v>0.999695400548279</v>
      </c>
    </row>
    <row r="260" spans="1:16" ht="13.5" customHeight="1">
      <c r="A260" s="134"/>
      <c r="B260" s="130" t="s">
        <v>254</v>
      </c>
      <c r="C260" s="131" t="s">
        <v>255</v>
      </c>
      <c r="D260" s="131"/>
      <c r="E260" s="131">
        <v>3411</v>
      </c>
      <c r="F260" s="131">
        <v>0</v>
      </c>
      <c r="G260" s="131">
        <v>1800</v>
      </c>
      <c r="H260" s="131">
        <v>3500</v>
      </c>
      <c r="I260" s="131">
        <v>395</v>
      </c>
      <c r="J260" s="131">
        <v>0</v>
      </c>
      <c r="K260" s="131">
        <v>4743</v>
      </c>
      <c r="L260" s="131">
        <v>4743</v>
      </c>
      <c r="M260" s="131">
        <v>0</v>
      </c>
      <c r="N260" s="132">
        <f t="shared" si="37"/>
        <v>4743</v>
      </c>
      <c r="O260" s="132">
        <v>0</v>
      </c>
      <c r="P260" s="127">
        <f t="shared" si="35"/>
        <v>1</v>
      </c>
    </row>
    <row r="261" spans="1:16" ht="13.5" customHeight="1">
      <c r="A261" s="134"/>
      <c r="B261" s="130" t="s">
        <v>299</v>
      </c>
      <c r="C261" s="131" t="s">
        <v>300</v>
      </c>
      <c r="D261" s="131"/>
      <c r="E261" s="131"/>
      <c r="F261" s="131"/>
      <c r="G261" s="131"/>
      <c r="H261" s="131"/>
      <c r="I261" s="131"/>
      <c r="J261" s="131"/>
      <c r="K261" s="131">
        <v>510</v>
      </c>
      <c r="L261" s="131">
        <v>510</v>
      </c>
      <c r="M261" s="131">
        <v>0</v>
      </c>
      <c r="N261" s="132">
        <f t="shared" si="37"/>
        <v>510</v>
      </c>
      <c r="O261" s="132">
        <v>0</v>
      </c>
      <c r="P261" s="127">
        <f t="shared" si="35"/>
        <v>1</v>
      </c>
    </row>
    <row r="262" spans="1:16" ht="12.75" customHeight="1">
      <c r="A262" s="134"/>
      <c r="B262" s="130" t="s">
        <v>221</v>
      </c>
      <c r="C262" s="131" t="s">
        <v>222</v>
      </c>
      <c r="D262" s="131"/>
      <c r="E262" s="131">
        <v>156652</v>
      </c>
      <c r="F262" s="131">
        <v>0</v>
      </c>
      <c r="G262" s="131">
        <v>1550</v>
      </c>
      <c r="H262" s="131">
        <v>123022</v>
      </c>
      <c r="I262" s="131">
        <v>17217</v>
      </c>
      <c r="J262" s="131">
        <v>0</v>
      </c>
      <c r="K262" s="131">
        <v>144856</v>
      </c>
      <c r="L262" s="131">
        <v>144856</v>
      </c>
      <c r="M262" s="131">
        <v>0</v>
      </c>
      <c r="N262" s="132">
        <f t="shared" si="37"/>
        <v>144856</v>
      </c>
      <c r="O262" s="132">
        <v>0</v>
      </c>
      <c r="P262" s="127">
        <f t="shared" si="35"/>
        <v>1</v>
      </c>
    </row>
    <row r="263" spans="1:16" ht="12.75" customHeight="1">
      <c r="A263" s="134"/>
      <c r="B263" s="130" t="s">
        <v>256</v>
      </c>
      <c r="C263" s="131" t="s">
        <v>257</v>
      </c>
      <c r="D263" s="131"/>
      <c r="E263" s="131"/>
      <c r="F263" s="131"/>
      <c r="G263" s="131"/>
      <c r="H263" s="131">
        <v>31</v>
      </c>
      <c r="I263" s="131">
        <v>0</v>
      </c>
      <c r="J263" s="131">
        <v>0</v>
      </c>
      <c r="K263" s="131">
        <v>124</v>
      </c>
      <c r="L263" s="131">
        <v>124</v>
      </c>
      <c r="M263" s="131">
        <v>0</v>
      </c>
      <c r="N263" s="132">
        <f t="shared" si="37"/>
        <v>124</v>
      </c>
      <c r="O263" s="132">
        <v>0</v>
      </c>
      <c r="P263" s="127">
        <f t="shared" si="35"/>
        <v>1</v>
      </c>
    </row>
    <row r="264" spans="1:16" ht="12.75" customHeight="1">
      <c r="A264" s="134"/>
      <c r="B264" s="130" t="s">
        <v>374</v>
      </c>
      <c r="C264" s="131" t="s">
        <v>375</v>
      </c>
      <c r="D264" s="131"/>
      <c r="E264" s="131"/>
      <c r="F264" s="131"/>
      <c r="G264" s="131"/>
      <c r="H264" s="131"/>
      <c r="I264" s="131"/>
      <c r="J264" s="131"/>
      <c r="K264" s="131">
        <v>1000</v>
      </c>
      <c r="L264" s="131">
        <v>1000</v>
      </c>
      <c r="M264" s="131">
        <v>0</v>
      </c>
      <c r="N264" s="132">
        <f t="shared" si="37"/>
        <v>1000</v>
      </c>
      <c r="O264" s="132">
        <v>0</v>
      </c>
      <c r="P264" s="127">
        <f t="shared" si="35"/>
        <v>1</v>
      </c>
    </row>
    <row r="265" spans="1:16" ht="12.75" customHeight="1">
      <c r="A265" s="134"/>
      <c r="B265" s="130" t="s">
        <v>258</v>
      </c>
      <c r="C265" s="131" t="s">
        <v>378</v>
      </c>
      <c r="D265" s="131"/>
      <c r="E265" s="131"/>
      <c r="F265" s="131"/>
      <c r="G265" s="131"/>
      <c r="H265" s="131"/>
      <c r="I265" s="131"/>
      <c r="J265" s="131"/>
      <c r="K265" s="131">
        <v>70000</v>
      </c>
      <c r="L265" s="131">
        <v>70000</v>
      </c>
      <c r="M265" s="131">
        <v>0</v>
      </c>
      <c r="N265" s="132">
        <f t="shared" si="37"/>
        <v>70000</v>
      </c>
      <c r="O265" s="132">
        <v>0</v>
      </c>
      <c r="P265" s="127">
        <f t="shared" si="35"/>
        <v>1</v>
      </c>
    </row>
    <row r="266" spans="1:16" ht="21.75" customHeight="1">
      <c r="A266" s="134"/>
      <c r="B266" s="130" t="s">
        <v>358</v>
      </c>
      <c r="C266" s="74" t="s">
        <v>376</v>
      </c>
      <c r="D266" s="131">
        <v>0</v>
      </c>
      <c r="E266" s="131">
        <v>257318</v>
      </c>
      <c r="F266" s="131">
        <v>0</v>
      </c>
      <c r="G266" s="131">
        <v>74165</v>
      </c>
      <c r="H266" s="131">
        <v>264509</v>
      </c>
      <c r="I266" s="131" t="e">
        <f>#REF!+#REF!+#REF!</f>
        <v>#REF!</v>
      </c>
      <c r="J266" s="131" t="e">
        <f>#REF!+#REF!+#REF!</f>
        <v>#REF!</v>
      </c>
      <c r="K266" s="131">
        <v>115706</v>
      </c>
      <c r="L266" s="131">
        <v>115706</v>
      </c>
      <c r="M266" s="131">
        <v>0</v>
      </c>
      <c r="N266" s="132">
        <f t="shared" si="37"/>
        <v>115706</v>
      </c>
      <c r="O266" s="131">
        <v>0</v>
      </c>
      <c r="P266" s="127">
        <f>L266/K266</f>
        <v>1</v>
      </c>
    </row>
    <row r="267" spans="1:16" ht="15.75" customHeight="1">
      <c r="A267" s="448" t="s">
        <v>380</v>
      </c>
      <c r="B267" s="459"/>
      <c r="C267" s="451" t="s">
        <v>381</v>
      </c>
      <c r="D267" s="451">
        <f>D268+D269+D270+D272</f>
        <v>181894</v>
      </c>
      <c r="E267" s="451">
        <f>E268+E269+E270+E271+E272+E275</f>
        <v>139815</v>
      </c>
      <c r="F267" s="451">
        <f>F268+F269+F270+F271+F272+F275</f>
        <v>0</v>
      </c>
      <c r="G267" s="451">
        <f>G268+G269+G270+G271+G272+G275</f>
        <v>0</v>
      </c>
      <c r="H267" s="451">
        <f>H268+H269+H270+H271+H272+H275+H276+H273</f>
        <v>277190</v>
      </c>
      <c r="I267" s="451">
        <f>I268+I269+I270+I271+I272+I275+I276+I273</f>
        <v>52751</v>
      </c>
      <c r="J267" s="451">
        <f>J268+J269+J270+J271+J272+J275+J276+J273</f>
        <v>0</v>
      </c>
      <c r="K267" s="451">
        <f>K268+K269+K270+K271+K272+K273+K274+K275+K276</f>
        <v>683930</v>
      </c>
      <c r="L267" s="451">
        <f>L268+L269+L270+L271+L272+L273+L274+L275+L276</f>
        <v>683930</v>
      </c>
      <c r="M267" s="451">
        <f>M268+M269+M270+M271+M272+M273+M274+M275+M276</f>
        <v>0</v>
      </c>
      <c r="N267" s="451">
        <f>N268+N269+N270+N271+N272+N273+N274+N275+N276</f>
        <v>683930</v>
      </c>
      <c r="O267" s="451">
        <f>O268+O269+O270+O271+O272+O273+O274+O275+O276</f>
        <v>0</v>
      </c>
      <c r="P267" s="452">
        <f aca="true" t="shared" si="38" ref="P267:P279">L267/K267</f>
        <v>1</v>
      </c>
    </row>
    <row r="268" spans="1:16" ht="15" customHeight="1">
      <c r="A268" s="123"/>
      <c r="B268" s="130" t="s">
        <v>238</v>
      </c>
      <c r="C268" s="74" t="s">
        <v>287</v>
      </c>
      <c r="D268" s="131">
        <v>134523</v>
      </c>
      <c r="E268" s="131">
        <v>97179</v>
      </c>
      <c r="F268" s="131">
        <v>0</v>
      </c>
      <c r="G268" s="131">
        <v>0</v>
      </c>
      <c r="H268" s="131">
        <v>148200</v>
      </c>
      <c r="I268" s="131">
        <v>47224</v>
      </c>
      <c r="J268" s="131">
        <v>0</v>
      </c>
      <c r="K268" s="131">
        <v>381608</v>
      </c>
      <c r="L268" s="131">
        <v>381608</v>
      </c>
      <c r="M268" s="131">
        <v>0</v>
      </c>
      <c r="N268" s="132">
        <f aca="true" t="shared" si="39" ref="N268:N276">L268</f>
        <v>381608</v>
      </c>
      <c r="O268" s="132">
        <v>0</v>
      </c>
      <c r="P268" s="127">
        <f t="shared" si="38"/>
        <v>1</v>
      </c>
    </row>
    <row r="269" spans="1:16" ht="15" customHeight="1">
      <c r="A269" s="123"/>
      <c r="B269" s="130" t="s">
        <v>240</v>
      </c>
      <c r="C269" s="74" t="s">
        <v>241</v>
      </c>
      <c r="D269" s="131">
        <v>12439</v>
      </c>
      <c r="E269" s="131">
        <v>9136</v>
      </c>
      <c r="F269" s="131">
        <v>0</v>
      </c>
      <c r="G269" s="131">
        <v>0</v>
      </c>
      <c r="H269" s="131">
        <v>8185</v>
      </c>
      <c r="I269" s="131">
        <v>0</v>
      </c>
      <c r="J269" s="131">
        <v>0</v>
      </c>
      <c r="K269" s="131">
        <v>20261</v>
      </c>
      <c r="L269" s="131">
        <v>20261</v>
      </c>
      <c r="M269" s="131">
        <v>0</v>
      </c>
      <c r="N269" s="132">
        <f t="shared" si="39"/>
        <v>20261</v>
      </c>
      <c r="O269" s="132">
        <v>0</v>
      </c>
      <c r="P269" s="127">
        <f t="shared" si="38"/>
        <v>1</v>
      </c>
    </row>
    <row r="270" spans="1:16" ht="15" customHeight="1">
      <c r="A270" s="123"/>
      <c r="B270" s="135" t="s">
        <v>280</v>
      </c>
      <c r="C270" s="74" t="s">
        <v>288</v>
      </c>
      <c r="D270" s="131">
        <v>28542</v>
      </c>
      <c r="E270" s="131">
        <v>18746</v>
      </c>
      <c r="F270" s="131">
        <v>0</v>
      </c>
      <c r="G270" s="131">
        <v>0</v>
      </c>
      <c r="H270" s="131">
        <v>27400</v>
      </c>
      <c r="I270" s="131">
        <v>4754</v>
      </c>
      <c r="J270" s="131">
        <v>0</v>
      </c>
      <c r="K270" s="131">
        <v>74670</v>
      </c>
      <c r="L270" s="131">
        <v>74670</v>
      </c>
      <c r="M270" s="131">
        <v>0</v>
      </c>
      <c r="N270" s="132">
        <f t="shared" si="39"/>
        <v>74670</v>
      </c>
      <c r="O270" s="132">
        <v>0</v>
      </c>
      <c r="P270" s="127">
        <f t="shared" si="38"/>
        <v>1</v>
      </c>
    </row>
    <row r="271" spans="1:16" ht="14.25" customHeight="1">
      <c r="A271" s="123"/>
      <c r="B271" s="135" t="s">
        <v>244</v>
      </c>
      <c r="C271" s="74" t="s">
        <v>245</v>
      </c>
      <c r="D271" s="131"/>
      <c r="E271" s="131">
        <v>2604</v>
      </c>
      <c r="F271" s="131">
        <v>0</v>
      </c>
      <c r="G271" s="131">
        <v>0</v>
      </c>
      <c r="H271" s="131">
        <v>3760</v>
      </c>
      <c r="I271" s="131">
        <v>773</v>
      </c>
      <c r="J271" s="131">
        <v>0</v>
      </c>
      <c r="K271" s="131">
        <v>10167</v>
      </c>
      <c r="L271" s="131">
        <v>10167</v>
      </c>
      <c r="M271" s="131">
        <v>0</v>
      </c>
      <c r="N271" s="132">
        <f t="shared" si="39"/>
        <v>10167</v>
      </c>
      <c r="O271" s="132">
        <v>0</v>
      </c>
      <c r="P271" s="127">
        <f t="shared" si="38"/>
        <v>1</v>
      </c>
    </row>
    <row r="272" spans="1:16" ht="14.25" customHeight="1">
      <c r="A272" s="123"/>
      <c r="B272" s="130" t="s">
        <v>225</v>
      </c>
      <c r="C272" s="131" t="s">
        <v>249</v>
      </c>
      <c r="D272" s="131">
        <v>6390</v>
      </c>
      <c r="E272" s="131">
        <v>5029</v>
      </c>
      <c r="F272" s="131">
        <v>0</v>
      </c>
      <c r="G272" s="131">
        <v>0</v>
      </c>
      <c r="H272" s="131">
        <v>400</v>
      </c>
      <c r="I272" s="131">
        <v>0</v>
      </c>
      <c r="J272" s="131">
        <v>0</v>
      </c>
      <c r="K272" s="131">
        <v>3219</v>
      </c>
      <c r="L272" s="131">
        <v>3219</v>
      </c>
      <c r="M272" s="131">
        <v>0</v>
      </c>
      <c r="N272" s="132">
        <f t="shared" si="39"/>
        <v>3219</v>
      </c>
      <c r="O272" s="132">
        <v>0</v>
      </c>
      <c r="P272" s="127">
        <f t="shared" si="38"/>
        <v>1</v>
      </c>
    </row>
    <row r="273" spans="1:16" ht="14.25" customHeight="1">
      <c r="A273" s="123"/>
      <c r="B273" s="130" t="s">
        <v>250</v>
      </c>
      <c r="C273" s="131" t="s">
        <v>251</v>
      </c>
      <c r="D273" s="131"/>
      <c r="E273" s="131"/>
      <c r="F273" s="131"/>
      <c r="G273" s="131"/>
      <c r="H273" s="131">
        <v>1600</v>
      </c>
      <c r="I273" s="131">
        <v>0</v>
      </c>
      <c r="J273" s="131">
        <v>0</v>
      </c>
      <c r="K273" s="131">
        <v>2500</v>
      </c>
      <c r="L273" s="131">
        <v>2500</v>
      </c>
      <c r="M273" s="131">
        <v>0</v>
      </c>
      <c r="N273" s="132">
        <f t="shared" si="39"/>
        <v>2500</v>
      </c>
      <c r="O273" s="132">
        <v>0</v>
      </c>
      <c r="P273" s="127">
        <f t="shared" si="38"/>
        <v>1</v>
      </c>
    </row>
    <row r="274" spans="1:16" ht="14.25" customHeight="1">
      <c r="A274" s="123"/>
      <c r="B274" s="130" t="s">
        <v>228</v>
      </c>
      <c r="C274" s="131" t="s">
        <v>229</v>
      </c>
      <c r="D274" s="131"/>
      <c r="E274" s="131"/>
      <c r="F274" s="131"/>
      <c r="G274" s="131"/>
      <c r="H274" s="131"/>
      <c r="I274" s="131"/>
      <c r="J274" s="131"/>
      <c r="K274" s="131">
        <v>3500</v>
      </c>
      <c r="L274" s="131">
        <v>3500</v>
      </c>
      <c r="M274" s="131">
        <v>0</v>
      </c>
      <c r="N274" s="132">
        <f t="shared" si="39"/>
        <v>3500</v>
      </c>
      <c r="O274" s="132">
        <v>0</v>
      </c>
      <c r="P274" s="127">
        <f t="shared" si="38"/>
        <v>1</v>
      </c>
    </row>
    <row r="275" spans="1:16" ht="16.5" customHeight="1">
      <c r="A275" s="123"/>
      <c r="B275" s="130" t="s">
        <v>221</v>
      </c>
      <c r="C275" s="131" t="s">
        <v>222</v>
      </c>
      <c r="D275" s="131"/>
      <c r="E275" s="131">
        <v>7121</v>
      </c>
      <c r="F275" s="131">
        <v>0</v>
      </c>
      <c r="G275" s="131">
        <v>0</v>
      </c>
      <c r="H275" s="131">
        <v>7875</v>
      </c>
      <c r="I275" s="131">
        <v>0</v>
      </c>
      <c r="J275" s="131">
        <v>0</v>
      </c>
      <c r="K275" s="131">
        <v>17005</v>
      </c>
      <c r="L275" s="131">
        <v>17005</v>
      </c>
      <c r="M275" s="131">
        <v>0</v>
      </c>
      <c r="N275" s="132">
        <f t="shared" si="39"/>
        <v>17005</v>
      </c>
      <c r="O275" s="132">
        <v>0</v>
      </c>
      <c r="P275" s="127">
        <f t="shared" si="38"/>
        <v>1</v>
      </c>
    </row>
    <row r="276" spans="1:16" ht="24" customHeight="1">
      <c r="A276" s="123"/>
      <c r="B276" s="130" t="s">
        <v>358</v>
      </c>
      <c r="C276" s="74" t="s">
        <v>382</v>
      </c>
      <c r="D276" s="131"/>
      <c r="E276" s="131">
        <v>0</v>
      </c>
      <c r="F276" s="131">
        <v>0</v>
      </c>
      <c r="G276" s="131">
        <v>0</v>
      </c>
      <c r="H276" s="131">
        <v>79770</v>
      </c>
      <c r="I276" s="131">
        <v>0</v>
      </c>
      <c r="J276" s="131">
        <v>0</v>
      </c>
      <c r="K276" s="131">
        <v>171000</v>
      </c>
      <c r="L276" s="131">
        <v>171000</v>
      </c>
      <c r="M276" s="131">
        <v>0</v>
      </c>
      <c r="N276" s="132">
        <f t="shared" si="39"/>
        <v>171000</v>
      </c>
      <c r="O276" s="132">
        <v>0</v>
      </c>
      <c r="P276" s="127">
        <f t="shared" si="38"/>
        <v>1</v>
      </c>
    </row>
    <row r="277" spans="1:16" ht="15.75" customHeight="1">
      <c r="A277" s="448" t="s">
        <v>383</v>
      </c>
      <c r="B277" s="460"/>
      <c r="C277" s="450" t="s">
        <v>384</v>
      </c>
      <c r="D277" s="451"/>
      <c r="E277" s="451" t="e">
        <f>E278+E279+#REF!+#REF!+#REF!</f>
        <v>#REF!</v>
      </c>
      <c r="F277" s="451" t="e">
        <f>F278+F279+#REF!+#REF!+#REF!</f>
        <v>#REF!</v>
      </c>
      <c r="G277" s="451" t="e">
        <f>G278+G279+#REF!+#REF!+#REF!</f>
        <v>#REF!</v>
      </c>
      <c r="H277" s="451" t="e">
        <f>H279+#REF!</f>
        <v>#REF!</v>
      </c>
      <c r="I277" s="451" t="e">
        <f>I279+#REF!</f>
        <v>#REF!</v>
      </c>
      <c r="J277" s="451" t="e">
        <f>J279+#REF!</f>
        <v>#REF!</v>
      </c>
      <c r="K277" s="451">
        <f>K278+K279</f>
        <v>1863</v>
      </c>
      <c r="L277" s="451">
        <f>L278+L279</f>
        <v>1863</v>
      </c>
      <c r="M277" s="451">
        <f>M278+M279</f>
        <v>0</v>
      </c>
      <c r="N277" s="451">
        <f>N278+N279</f>
        <v>1863</v>
      </c>
      <c r="O277" s="451">
        <f>O278+O279</f>
        <v>0</v>
      </c>
      <c r="P277" s="452">
        <f t="shared" si="38"/>
        <v>1</v>
      </c>
    </row>
    <row r="278" spans="1:16" ht="12" customHeight="1">
      <c r="A278" s="123"/>
      <c r="B278" s="130" t="s">
        <v>665</v>
      </c>
      <c r="C278" s="74" t="s">
        <v>666</v>
      </c>
      <c r="D278" s="131"/>
      <c r="E278" s="131">
        <v>0</v>
      </c>
      <c r="F278" s="131">
        <v>0</v>
      </c>
      <c r="G278" s="131">
        <v>0</v>
      </c>
      <c r="H278" s="138"/>
      <c r="I278" s="138"/>
      <c r="J278" s="138"/>
      <c r="K278" s="131">
        <v>1320</v>
      </c>
      <c r="L278" s="131">
        <v>1320</v>
      </c>
      <c r="M278" s="131">
        <v>0</v>
      </c>
      <c r="N278" s="132">
        <f>L278</f>
        <v>1320</v>
      </c>
      <c r="O278" s="132">
        <v>0</v>
      </c>
      <c r="P278" s="127">
        <f t="shared" si="38"/>
        <v>1</v>
      </c>
    </row>
    <row r="279" spans="1:16" ht="13.5" customHeight="1">
      <c r="A279" s="123"/>
      <c r="B279" s="130" t="s">
        <v>225</v>
      </c>
      <c r="C279" s="74" t="s">
        <v>249</v>
      </c>
      <c r="D279" s="131"/>
      <c r="E279" s="131">
        <v>43</v>
      </c>
      <c r="F279" s="131">
        <v>0</v>
      </c>
      <c r="G279" s="131">
        <v>7</v>
      </c>
      <c r="H279" s="131">
        <v>100</v>
      </c>
      <c r="I279" s="131">
        <v>0</v>
      </c>
      <c r="J279" s="131">
        <v>100</v>
      </c>
      <c r="K279" s="131">
        <v>543</v>
      </c>
      <c r="L279" s="131">
        <v>543</v>
      </c>
      <c r="M279" s="131">
        <v>0</v>
      </c>
      <c r="N279" s="132">
        <f>K279</f>
        <v>543</v>
      </c>
      <c r="O279" s="132">
        <v>0</v>
      </c>
      <c r="P279" s="127">
        <f t="shared" si="38"/>
        <v>1</v>
      </c>
    </row>
    <row r="280" spans="1:16" ht="22.5" customHeight="1">
      <c r="A280" s="448" t="s">
        <v>385</v>
      </c>
      <c r="B280" s="460"/>
      <c r="C280" s="450" t="s">
        <v>386</v>
      </c>
      <c r="D280" s="451"/>
      <c r="E280" s="451">
        <f>E281</f>
        <v>22260</v>
      </c>
      <c r="F280" s="451">
        <f>F281</f>
        <v>0</v>
      </c>
      <c r="G280" s="451">
        <f>G281</f>
        <v>0</v>
      </c>
      <c r="H280" s="451">
        <f>H281+H282+H283+H284+H285</f>
        <v>39096</v>
      </c>
      <c r="I280" s="451">
        <f>I281+I282+I283+I284+I285</f>
        <v>0</v>
      </c>
      <c r="J280" s="451">
        <f>J281+J282+J283+J284+J285</f>
        <v>0</v>
      </c>
      <c r="K280" s="451">
        <f>K281+K282+K283+K284+K285+K286+K287</f>
        <v>61240</v>
      </c>
      <c r="L280" s="451">
        <f>L281+L282+L283+L284+L285+L286+L287</f>
        <v>61240</v>
      </c>
      <c r="M280" s="451">
        <f>M281+M282+M283+M284+M285+M286+M287</f>
        <v>0</v>
      </c>
      <c r="N280" s="451">
        <f>N281+N282+N283+N284+N285+N286+N287</f>
        <v>49240</v>
      </c>
      <c r="O280" s="451">
        <f>O281+O282+O283+O284+O285+O286+O287</f>
        <v>12000</v>
      </c>
      <c r="P280" s="452">
        <f aca="true" t="shared" si="40" ref="P280:P315">L280/K280</f>
        <v>1</v>
      </c>
    </row>
    <row r="281" spans="1:16" ht="15" customHeight="1">
      <c r="A281" s="123"/>
      <c r="B281" s="130" t="s">
        <v>166</v>
      </c>
      <c r="C281" s="74" t="s">
        <v>387</v>
      </c>
      <c r="D281" s="131"/>
      <c r="E281" s="131">
        <v>22260</v>
      </c>
      <c r="F281" s="131">
        <v>0</v>
      </c>
      <c r="G281" s="131">
        <v>0</v>
      </c>
      <c r="H281" s="131">
        <v>12000</v>
      </c>
      <c r="I281" s="131">
        <v>0</v>
      </c>
      <c r="J281" s="131">
        <v>0</v>
      </c>
      <c r="K281" s="131">
        <f>H281+I281-J281</f>
        <v>12000</v>
      </c>
      <c r="L281" s="131">
        <v>12000</v>
      </c>
      <c r="M281" s="131">
        <v>0</v>
      </c>
      <c r="N281" s="132">
        <v>0</v>
      </c>
      <c r="O281" s="132">
        <f>L281</f>
        <v>12000</v>
      </c>
      <c r="P281" s="127">
        <f t="shared" si="40"/>
        <v>1</v>
      </c>
    </row>
    <row r="282" spans="1:16" ht="15" customHeight="1">
      <c r="A282" s="123"/>
      <c r="B282" s="130" t="s">
        <v>365</v>
      </c>
      <c r="C282" s="74" t="s">
        <v>388</v>
      </c>
      <c r="D282" s="131"/>
      <c r="E282" s="131"/>
      <c r="F282" s="131"/>
      <c r="G282" s="131"/>
      <c r="H282" s="131">
        <v>13500</v>
      </c>
      <c r="I282" s="131">
        <v>0</v>
      </c>
      <c r="J282" s="131">
        <v>0</v>
      </c>
      <c r="K282" s="131">
        <v>12128</v>
      </c>
      <c r="L282" s="131">
        <v>12128</v>
      </c>
      <c r="M282" s="131">
        <v>0</v>
      </c>
      <c r="N282" s="132">
        <f aca="true" t="shared" si="41" ref="N282:N287">L282</f>
        <v>12128</v>
      </c>
      <c r="O282" s="132">
        <v>0</v>
      </c>
      <c r="P282" s="127">
        <f t="shared" si="40"/>
        <v>1</v>
      </c>
    </row>
    <row r="283" spans="1:16" ht="15.75" customHeight="1">
      <c r="A283" s="123"/>
      <c r="B283" s="130" t="s">
        <v>238</v>
      </c>
      <c r="C283" s="74" t="s">
        <v>277</v>
      </c>
      <c r="D283" s="131"/>
      <c r="E283" s="131"/>
      <c r="F283" s="131"/>
      <c r="G283" s="131"/>
      <c r="H283" s="131">
        <v>11300</v>
      </c>
      <c r="I283" s="131">
        <v>0</v>
      </c>
      <c r="J283" s="131">
        <v>0</v>
      </c>
      <c r="K283" s="131">
        <v>15450</v>
      </c>
      <c r="L283" s="131">
        <v>15450</v>
      </c>
      <c r="M283" s="131">
        <v>0</v>
      </c>
      <c r="N283" s="132">
        <f t="shared" si="41"/>
        <v>15450</v>
      </c>
      <c r="O283" s="132">
        <v>0</v>
      </c>
      <c r="P283" s="127">
        <f t="shared" si="40"/>
        <v>1</v>
      </c>
    </row>
    <row r="284" spans="1:16" ht="15" customHeight="1">
      <c r="A284" s="123"/>
      <c r="B284" s="130" t="s">
        <v>242</v>
      </c>
      <c r="C284" s="74" t="s">
        <v>288</v>
      </c>
      <c r="D284" s="131"/>
      <c r="E284" s="131"/>
      <c r="F284" s="131"/>
      <c r="G284" s="131"/>
      <c r="H284" s="131">
        <v>2020</v>
      </c>
      <c r="I284" s="131">
        <v>0</v>
      </c>
      <c r="J284" s="131">
        <v>0</v>
      </c>
      <c r="K284" s="131">
        <v>2781</v>
      </c>
      <c r="L284" s="131">
        <v>2781</v>
      </c>
      <c r="M284" s="131">
        <v>0</v>
      </c>
      <c r="N284" s="132">
        <f t="shared" si="41"/>
        <v>2781</v>
      </c>
      <c r="O284" s="132">
        <v>0</v>
      </c>
      <c r="P284" s="127">
        <f t="shared" si="40"/>
        <v>1</v>
      </c>
    </row>
    <row r="285" spans="1:16" ht="15.75" customHeight="1">
      <c r="A285" s="123"/>
      <c r="B285" s="130" t="s">
        <v>244</v>
      </c>
      <c r="C285" s="74" t="s">
        <v>245</v>
      </c>
      <c r="D285" s="131"/>
      <c r="E285" s="131"/>
      <c r="F285" s="131"/>
      <c r="G285" s="131"/>
      <c r="H285" s="131">
        <v>276</v>
      </c>
      <c r="I285" s="131">
        <v>0</v>
      </c>
      <c r="J285" s="131">
        <v>0</v>
      </c>
      <c r="K285" s="131">
        <v>378</v>
      </c>
      <c r="L285" s="131">
        <v>378</v>
      </c>
      <c r="M285" s="131">
        <v>0</v>
      </c>
      <c r="N285" s="132">
        <f t="shared" si="41"/>
        <v>378</v>
      </c>
      <c r="O285" s="132">
        <v>0</v>
      </c>
      <c r="P285" s="127">
        <f t="shared" si="40"/>
        <v>1</v>
      </c>
    </row>
    <row r="286" spans="1:16" ht="15.75" customHeight="1">
      <c r="A286" s="123"/>
      <c r="B286" s="130" t="s">
        <v>665</v>
      </c>
      <c r="C286" s="74" t="s">
        <v>666</v>
      </c>
      <c r="D286" s="131"/>
      <c r="E286" s="131"/>
      <c r="F286" s="131"/>
      <c r="G286" s="131"/>
      <c r="H286" s="131"/>
      <c r="I286" s="131"/>
      <c r="J286" s="131"/>
      <c r="K286" s="131">
        <v>500</v>
      </c>
      <c r="L286" s="131">
        <v>500</v>
      </c>
      <c r="M286" s="131">
        <v>0</v>
      </c>
      <c r="N286" s="132">
        <f t="shared" si="41"/>
        <v>500</v>
      </c>
      <c r="O286" s="132">
        <v>0</v>
      </c>
      <c r="P286" s="127">
        <f t="shared" si="40"/>
        <v>1</v>
      </c>
    </row>
    <row r="287" spans="1:16" ht="15.75" customHeight="1">
      <c r="A287" s="123"/>
      <c r="B287" s="130" t="s">
        <v>228</v>
      </c>
      <c r="C287" s="74" t="s">
        <v>290</v>
      </c>
      <c r="D287" s="131"/>
      <c r="E287" s="131"/>
      <c r="F287" s="131"/>
      <c r="G287" s="131"/>
      <c r="H287" s="131"/>
      <c r="I287" s="131"/>
      <c r="J287" s="131"/>
      <c r="K287" s="131">
        <v>18003</v>
      </c>
      <c r="L287" s="131">
        <v>18003</v>
      </c>
      <c r="M287" s="131">
        <v>0</v>
      </c>
      <c r="N287" s="132">
        <f t="shared" si="41"/>
        <v>18003</v>
      </c>
      <c r="O287" s="132">
        <v>0</v>
      </c>
      <c r="P287" s="127">
        <f t="shared" si="40"/>
        <v>1</v>
      </c>
    </row>
    <row r="288" spans="1:16" ht="15.75" customHeight="1">
      <c r="A288" s="448" t="s">
        <v>129</v>
      </c>
      <c r="B288" s="459"/>
      <c r="C288" s="451" t="s">
        <v>33</v>
      </c>
      <c r="D288" s="451">
        <f>D302</f>
        <v>75717</v>
      </c>
      <c r="E288" s="451">
        <f>E302</f>
        <v>32249</v>
      </c>
      <c r="F288" s="451">
        <f>F302</f>
        <v>8206</v>
      </c>
      <c r="G288" s="451">
        <f>G302</f>
        <v>0</v>
      </c>
      <c r="H288" s="451">
        <f aca="true" t="shared" si="42" ref="H288:O288">H292</f>
        <v>29430</v>
      </c>
      <c r="I288" s="451">
        <f t="shared" si="42"/>
        <v>0</v>
      </c>
      <c r="J288" s="451">
        <f t="shared" si="42"/>
        <v>0</v>
      </c>
      <c r="K288" s="451">
        <f t="shared" si="42"/>
        <v>44474</v>
      </c>
      <c r="L288" s="451">
        <f t="shared" si="42"/>
        <v>44474</v>
      </c>
      <c r="M288" s="451">
        <f t="shared" si="42"/>
        <v>0</v>
      </c>
      <c r="N288" s="454">
        <f t="shared" si="42"/>
        <v>44474</v>
      </c>
      <c r="O288" s="454">
        <f t="shared" si="42"/>
        <v>0</v>
      </c>
      <c r="P288" s="458">
        <f t="shared" si="40"/>
        <v>1</v>
      </c>
    </row>
    <row r="289" spans="1:16" ht="16.5" customHeight="1" hidden="1">
      <c r="A289" s="134"/>
      <c r="B289" s="130"/>
      <c r="C289" s="131"/>
      <c r="D289" s="131"/>
      <c r="E289" s="131"/>
      <c r="F289" s="131"/>
      <c r="G289" s="131"/>
      <c r="H289" s="131"/>
      <c r="I289" s="131"/>
      <c r="J289" s="131"/>
      <c r="K289" s="131"/>
      <c r="L289" s="131"/>
      <c r="M289" s="131"/>
      <c r="N289" s="132"/>
      <c r="O289" s="132">
        <v>0</v>
      </c>
      <c r="P289" s="127" t="e">
        <f t="shared" si="40"/>
        <v>#DIV/0!</v>
      </c>
    </row>
    <row r="290" spans="1:16" ht="15.75" customHeight="1" hidden="1">
      <c r="A290" s="134"/>
      <c r="B290" s="130"/>
      <c r="C290" s="131"/>
      <c r="D290" s="131"/>
      <c r="E290" s="131"/>
      <c r="F290" s="131"/>
      <c r="G290" s="131"/>
      <c r="H290" s="131"/>
      <c r="I290" s="131"/>
      <c r="J290" s="131"/>
      <c r="K290" s="131"/>
      <c r="L290" s="131"/>
      <c r="M290" s="131"/>
      <c r="N290" s="132"/>
      <c r="O290" s="132">
        <v>0</v>
      </c>
      <c r="P290" s="127" t="e">
        <f t="shared" si="40"/>
        <v>#DIV/0!</v>
      </c>
    </row>
    <row r="291" spans="1:16" ht="15" customHeight="1" hidden="1">
      <c r="A291" s="134"/>
      <c r="B291" s="130"/>
      <c r="C291" s="131"/>
      <c r="D291" s="131"/>
      <c r="E291" s="131"/>
      <c r="F291" s="131"/>
      <c r="G291" s="131"/>
      <c r="H291" s="131"/>
      <c r="I291" s="131"/>
      <c r="J291" s="131"/>
      <c r="K291" s="131"/>
      <c r="L291" s="131"/>
      <c r="M291" s="131"/>
      <c r="N291" s="132"/>
      <c r="O291" s="132">
        <v>0</v>
      </c>
      <c r="P291" s="127" t="e">
        <f t="shared" si="40"/>
        <v>#DIV/0!</v>
      </c>
    </row>
    <row r="292" spans="1:16" ht="15.75" customHeight="1">
      <c r="A292" s="134"/>
      <c r="B292" s="130" t="s">
        <v>221</v>
      </c>
      <c r="C292" s="131" t="s">
        <v>222</v>
      </c>
      <c r="D292" s="131"/>
      <c r="E292" s="131"/>
      <c r="F292" s="131"/>
      <c r="G292" s="131"/>
      <c r="H292" s="131">
        <v>29430</v>
      </c>
      <c r="I292" s="131">
        <v>0</v>
      </c>
      <c r="J292" s="131">
        <v>0</v>
      </c>
      <c r="K292" s="131">
        <v>44474</v>
      </c>
      <c r="L292" s="131">
        <v>44474</v>
      </c>
      <c r="M292" s="131">
        <v>0</v>
      </c>
      <c r="N292" s="132">
        <f>L292</f>
        <v>44474</v>
      </c>
      <c r="O292" s="132">
        <v>0</v>
      </c>
      <c r="P292" s="127">
        <f t="shared" si="40"/>
        <v>1</v>
      </c>
    </row>
    <row r="293" spans="1:16" ht="15.75" customHeight="1">
      <c r="A293" s="437" t="s">
        <v>703</v>
      </c>
      <c r="B293" s="432"/>
      <c r="C293" s="433" t="s">
        <v>135</v>
      </c>
      <c r="D293" s="438"/>
      <c r="E293" s="438"/>
      <c r="F293" s="438"/>
      <c r="G293" s="438"/>
      <c r="H293" s="438"/>
      <c r="I293" s="438"/>
      <c r="J293" s="438"/>
      <c r="K293" s="433">
        <f>K294</f>
        <v>88432</v>
      </c>
      <c r="L293" s="433">
        <f>L294</f>
        <v>88432</v>
      </c>
      <c r="M293" s="433">
        <f>M294</f>
        <v>0</v>
      </c>
      <c r="N293" s="433">
        <f>N294</f>
        <v>88432</v>
      </c>
      <c r="O293" s="433">
        <f>O294</f>
        <v>0</v>
      </c>
      <c r="P293" s="439">
        <f t="shared" si="40"/>
        <v>1</v>
      </c>
    </row>
    <row r="294" spans="1:16" ht="15.75" customHeight="1">
      <c r="A294" s="448" t="s">
        <v>704</v>
      </c>
      <c r="B294" s="459"/>
      <c r="C294" s="451" t="s">
        <v>705</v>
      </c>
      <c r="D294" s="456"/>
      <c r="E294" s="456"/>
      <c r="F294" s="456"/>
      <c r="G294" s="456"/>
      <c r="H294" s="456"/>
      <c r="I294" s="456"/>
      <c r="J294" s="456"/>
      <c r="K294" s="451">
        <f>K295+K296+K297+K298+K299+K300+K301+K302</f>
        <v>88432</v>
      </c>
      <c r="L294" s="451">
        <f>L295+L296+L297+L298+L299+L300+L301+L302</f>
        <v>88432</v>
      </c>
      <c r="M294" s="451">
        <f>M295+M296+M297+M298+M299+M300+M301+M302</f>
        <v>0</v>
      </c>
      <c r="N294" s="451">
        <f>N295+N296+N297+N298+N299+N300+N301+N302</f>
        <v>88432</v>
      </c>
      <c r="O294" s="451">
        <f>O295+O296+O297+O298+O299+O300+O301+O302</f>
        <v>0</v>
      </c>
      <c r="P294" s="458">
        <f t="shared" si="40"/>
        <v>1</v>
      </c>
    </row>
    <row r="295" spans="1:16" ht="15.75" customHeight="1">
      <c r="A295" s="134"/>
      <c r="B295" s="130" t="s">
        <v>706</v>
      </c>
      <c r="C295" s="131" t="s">
        <v>708</v>
      </c>
      <c r="D295" s="131"/>
      <c r="E295" s="131"/>
      <c r="F295" s="131"/>
      <c r="G295" s="131"/>
      <c r="H295" s="131"/>
      <c r="I295" s="131"/>
      <c r="J295" s="131"/>
      <c r="K295" s="131">
        <v>65225</v>
      </c>
      <c r="L295" s="131">
        <v>65225</v>
      </c>
      <c r="M295" s="131"/>
      <c r="N295" s="132">
        <f aca="true" t="shared" si="43" ref="N295:N302">L295</f>
        <v>65225</v>
      </c>
      <c r="O295" s="132"/>
      <c r="P295" s="461">
        <f t="shared" si="40"/>
        <v>1</v>
      </c>
    </row>
    <row r="296" spans="1:16" ht="15.75" customHeight="1">
      <c r="A296" s="134"/>
      <c r="B296" s="130" t="s">
        <v>707</v>
      </c>
      <c r="C296" s="131" t="s">
        <v>708</v>
      </c>
      <c r="D296" s="131"/>
      <c r="E296" s="131"/>
      <c r="F296" s="131"/>
      <c r="G296" s="131"/>
      <c r="H296" s="131"/>
      <c r="I296" s="131"/>
      <c r="J296" s="131"/>
      <c r="K296" s="131">
        <v>21742</v>
      </c>
      <c r="L296" s="131">
        <v>21742</v>
      </c>
      <c r="M296" s="131"/>
      <c r="N296" s="132">
        <f t="shared" si="43"/>
        <v>21742</v>
      </c>
      <c r="O296" s="132"/>
      <c r="P296" s="461">
        <f t="shared" si="40"/>
        <v>1</v>
      </c>
    </row>
    <row r="297" spans="1:16" ht="15.75" customHeight="1">
      <c r="A297" s="134"/>
      <c r="B297" s="130" t="s">
        <v>697</v>
      </c>
      <c r="C297" s="131" t="s">
        <v>709</v>
      </c>
      <c r="D297" s="131"/>
      <c r="E297" s="131"/>
      <c r="F297" s="131"/>
      <c r="G297" s="131"/>
      <c r="H297" s="131"/>
      <c r="I297" s="131"/>
      <c r="J297" s="131"/>
      <c r="K297" s="131">
        <v>0</v>
      </c>
      <c r="L297" s="131">
        <v>0</v>
      </c>
      <c r="M297" s="131"/>
      <c r="N297" s="132">
        <f t="shared" si="43"/>
        <v>0</v>
      </c>
      <c r="O297" s="132"/>
      <c r="P297" s="461">
        <v>0</v>
      </c>
    </row>
    <row r="298" spans="1:16" ht="15.75" customHeight="1">
      <c r="A298" s="134"/>
      <c r="B298" s="130" t="s">
        <v>698</v>
      </c>
      <c r="C298" s="131" t="s">
        <v>709</v>
      </c>
      <c r="D298" s="131"/>
      <c r="E298" s="131"/>
      <c r="F298" s="131"/>
      <c r="G298" s="131"/>
      <c r="H298" s="131"/>
      <c r="I298" s="131"/>
      <c r="J298" s="131"/>
      <c r="K298" s="131">
        <v>0</v>
      </c>
      <c r="L298" s="131">
        <v>0</v>
      </c>
      <c r="M298" s="131"/>
      <c r="N298" s="132">
        <f t="shared" si="43"/>
        <v>0</v>
      </c>
      <c r="O298" s="132"/>
      <c r="P298" s="461">
        <v>0</v>
      </c>
    </row>
    <row r="299" spans="1:16" ht="15.75" customHeight="1">
      <c r="A299" s="134"/>
      <c r="B299" s="130" t="s">
        <v>699</v>
      </c>
      <c r="C299" s="74" t="s">
        <v>249</v>
      </c>
      <c r="D299" s="131"/>
      <c r="E299" s="131"/>
      <c r="F299" s="131"/>
      <c r="G299" s="131"/>
      <c r="H299" s="131"/>
      <c r="I299" s="131"/>
      <c r="J299" s="131"/>
      <c r="K299" s="131">
        <v>715</v>
      </c>
      <c r="L299" s="131">
        <v>715</v>
      </c>
      <c r="M299" s="131"/>
      <c r="N299" s="132">
        <f t="shared" si="43"/>
        <v>715</v>
      </c>
      <c r="O299" s="132"/>
      <c r="P299" s="461">
        <f t="shared" si="40"/>
        <v>1</v>
      </c>
    </row>
    <row r="300" spans="1:16" ht="15.75" customHeight="1">
      <c r="A300" s="134"/>
      <c r="B300" s="130" t="s">
        <v>700</v>
      </c>
      <c r="C300" s="74" t="s">
        <v>249</v>
      </c>
      <c r="D300" s="131"/>
      <c r="E300" s="131"/>
      <c r="F300" s="131"/>
      <c r="G300" s="131"/>
      <c r="H300" s="131"/>
      <c r="I300" s="131"/>
      <c r="J300" s="131"/>
      <c r="K300" s="131">
        <v>238</v>
      </c>
      <c r="L300" s="131">
        <v>238</v>
      </c>
      <c r="M300" s="131"/>
      <c r="N300" s="132">
        <f t="shared" si="43"/>
        <v>238</v>
      </c>
      <c r="O300" s="132"/>
      <c r="P300" s="461">
        <f t="shared" si="40"/>
        <v>1</v>
      </c>
    </row>
    <row r="301" spans="1:16" ht="15.75" customHeight="1">
      <c r="A301" s="134"/>
      <c r="B301" s="130" t="s">
        <v>691</v>
      </c>
      <c r="C301" s="74" t="s">
        <v>290</v>
      </c>
      <c r="D301" s="131"/>
      <c r="E301" s="131"/>
      <c r="F301" s="131"/>
      <c r="G301" s="131"/>
      <c r="H301" s="131"/>
      <c r="I301" s="131"/>
      <c r="J301" s="131"/>
      <c r="K301" s="131">
        <v>384</v>
      </c>
      <c r="L301" s="131">
        <v>384</v>
      </c>
      <c r="M301" s="131"/>
      <c r="N301" s="132">
        <f t="shared" si="43"/>
        <v>384</v>
      </c>
      <c r="O301" s="132"/>
      <c r="P301" s="461">
        <f t="shared" si="40"/>
        <v>1</v>
      </c>
    </row>
    <row r="302" spans="1:16" ht="16.5" customHeight="1">
      <c r="A302" s="123"/>
      <c r="B302" s="130" t="s">
        <v>701</v>
      </c>
      <c r="C302" s="74" t="s">
        <v>290</v>
      </c>
      <c r="D302" s="131">
        <v>75717</v>
      </c>
      <c r="E302" s="131">
        <v>32249</v>
      </c>
      <c r="F302" s="131">
        <v>8206</v>
      </c>
      <c r="G302" s="131">
        <v>0</v>
      </c>
      <c r="H302" s="131"/>
      <c r="I302" s="131"/>
      <c r="J302" s="131"/>
      <c r="K302" s="131">
        <v>128</v>
      </c>
      <c r="L302" s="131">
        <v>128</v>
      </c>
      <c r="M302" s="131">
        <v>0</v>
      </c>
      <c r="N302" s="132">
        <f t="shared" si="43"/>
        <v>128</v>
      </c>
      <c r="O302" s="132">
        <v>0</v>
      </c>
      <c r="P302" s="127">
        <f t="shared" si="40"/>
        <v>1</v>
      </c>
    </row>
    <row r="303" spans="1:16" ht="16.5" customHeight="1">
      <c r="A303" s="431" t="s">
        <v>131</v>
      </c>
      <c r="B303" s="435"/>
      <c r="C303" s="433" t="s">
        <v>389</v>
      </c>
      <c r="D303" s="433" t="e">
        <f>D304+#REF!+#REF!+#REF!+#REF!+D316</f>
        <v>#REF!</v>
      </c>
      <c r="E303" s="433" t="e">
        <f>E304+#REF!+#REF!+#REF!+#REF!+E316</f>
        <v>#REF!</v>
      </c>
      <c r="F303" s="433" t="e">
        <f>F304+#REF!+#REF!+F316</f>
        <v>#REF!</v>
      </c>
      <c r="G303" s="433" t="e">
        <f>G304+#REF!+#REF!+G316</f>
        <v>#REF!</v>
      </c>
      <c r="H303" s="433" t="e">
        <f>H304+#REF!+H316</f>
        <v>#REF!</v>
      </c>
      <c r="I303" s="433" t="e">
        <f>I304+#REF!+I316</f>
        <v>#REF!</v>
      </c>
      <c r="J303" s="433" t="e">
        <f>J304+#REF!+J316</f>
        <v>#REF!</v>
      </c>
      <c r="K303" s="433">
        <f>K304+K310+K316</f>
        <v>914592</v>
      </c>
      <c r="L303" s="433">
        <f>L304+L310+L316</f>
        <v>912038</v>
      </c>
      <c r="M303" s="433">
        <f>M304+M310+M316</f>
        <v>519000</v>
      </c>
      <c r="N303" s="433">
        <f>N304+N310+N316</f>
        <v>393038</v>
      </c>
      <c r="O303" s="433">
        <f>O304+O310+O316</f>
        <v>0</v>
      </c>
      <c r="P303" s="430">
        <f t="shared" si="40"/>
        <v>0.997207497988174</v>
      </c>
    </row>
    <row r="304" spans="1:16" ht="14.25" customHeight="1">
      <c r="A304" s="449" t="s">
        <v>133</v>
      </c>
      <c r="B304" s="459"/>
      <c r="C304" s="451" t="s">
        <v>132</v>
      </c>
      <c r="D304" s="451" t="e">
        <f>D306+#REF!+#REF!</f>
        <v>#REF!</v>
      </c>
      <c r="E304" s="451" t="e">
        <f>E306+#REF!+#REF!+#REF!</f>
        <v>#REF!</v>
      </c>
      <c r="F304" s="451" t="e">
        <f>F306+#REF!+#REF!+#REF!</f>
        <v>#REF!</v>
      </c>
      <c r="G304" s="451" t="e">
        <f>G306+#REF!+#REF!</f>
        <v>#REF!</v>
      </c>
      <c r="H304" s="451" t="e">
        <f>H306+#REF!+#REF!+#REF!+#REF!+#REF!</f>
        <v>#REF!</v>
      </c>
      <c r="I304" s="451" t="e">
        <f>I306+#REF!+#REF!+#REF!+#REF!+#REF!</f>
        <v>#REF!</v>
      </c>
      <c r="J304" s="451" t="e">
        <f>J306+#REF!+#REF!+#REF!+#REF!+#REF!</f>
        <v>#REF!</v>
      </c>
      <c r="K304" s="451">
        <f>K305+K306+K307+K308+K309</f>
        <v>322122</v>
      </c>
      <c r="L304" s="451">
        <f>L305+L306+L307+L308+L309</f>
        <v>319568</v>
      </c>
      <c r="M304" s="451">
        <f>M305+M306+M307+M308+M309</f>
        <v>0</v>
      </c>
      <c r="N304" s="451">
        <f>N305+N306+N307+N308+N309</f>
        <v>319568</v>
      </c>
      <c r="O304" s="451">
        <f>O305+O306+O307+O308+O309</f>
        <v>0</v>
      </c>
      <c r="P304" s="452">
        <f t="shared" si="40"/>
        <v>0.9920713270127467</v>
      </c>
    </row>
    <row r="305" spans="1:16" ht="24" customHeight="1">
      <c r="A305" s="129"/>
      <c r="B305" s="130" t="s">
        <v>390</v>
      </c>
      <c r="C305" s="74" t="s">
        <v>682</v>
      </c>
      <c r="D305" s="138"/>
      <c r="E305" s="138"/>
      <c r="F305" s="138"/>
      <c r="G305" s="138"/>
      <c r="H305" s="138"/>
      <c r="I305" s="138"/>
      <c r="J305" s="138"/>
      <c r="K305" s="131">
        <v>4809</v>
      </c>
      <c r="L305" s="131">
        <v>4809</v>
      </c>
      <c r="M305" s="131">
        <v>0</v>
      </c>
      <c r="N305" s="131">
        <f>L305</f>
        <v>4809</v>
      </c>
      <c r="O305" s="131">
        <v>0</v>
      </c>
      <c r="P305" s="127">
        <f t="shared" si="40"/>
        <v>1</v>
      </c>
    </row>
    <row r="306" spans="1:16" ht="15.75" customHeight="1">
      <c r="A306" s="129"/>
      <c r="B306" s="130" t="s">
        <v>258</v>
      </c>
      <c r="C306" s="131" t="s">
        <v>378</v>
      </c>
      <c r="D306" s="131">
        <v>3638000</v>
      </c>
      <c r="E306" s="131">
        <v>591962</v>
      </c>
      <c r="F306" s="131">
        <v>385000</v>
      </c>
      <c r="G306" s="131">
        <v>0</v>
      </c>
      <c r="H306" s="131">
        <v>177345</v>
      </c>
      <c r="I306" s="131">
        <v>0</v>
      </c>
      <c r="J306" s="131">
        <v>0</v>
      </c>
      <c r="K306" s="131">
        <v>51518</v>
      </c>
      <c r="L306" s="131">
        <v>51518</v>
      </c>
      <c r="M306" s="131">
        <v>0</v>
      </c>
      <c r="N306" s="132">
        <f>L306</f>
        <v>51518</v>
      </c>
      <c r="O306" s="132">
        <v>0</v>
      </c>
      <c r="P306" s="127">
        <f t="shared" si="40"/>
        <v>1</v>
      </c>
    </row>
    <row r="307" spans="1:16" ht="17.25" customHeight="1">
      <c r="A307" s="134"/>
      <c r="B307" s="140" t="s">
        <v>664</v>
      </c>
      <c r="C307" s="131" t="s">
        <v>378</v>
      </c>
      <c r="D307" s="131"/>
      <c r="E307" s="131"/>
      <c r="F307" s="131"/>
      <c r="G307" s="131"/>
      <c r="H307" s="131"/>
      <c r="I307" s="131"/>
      <c r="J307" s="131"/>
      <c r="K307" s="131">
        <v>0</v>
      </c>
      <c r="L307" s="131">
        <v>0</v>
      </c>
      <c r="M307" s="131">
        <v>0</v>
      </c>
      <c r="N307" s="132">
        <f>L307</f>
        <v>0</v>
      </c>
      <c r="O307" s="132">
        <v>0</v>
      </c>
      <c r="P307" s="127">
        <v>0</v>
      </c>
    </row>
    <row r="308" spans="1:16" ht="17.25" customHeight="1">
      <c r="A308" s="134"/>
      <c r="B308" s="140" t="s">
        <v>306</v>
      </c>
      <c r="C308" s="131" t="s">
        <v>378</v>
      </c>
      <c r="D308" s="131"/>
      <c r="E308" s="131"/>
      <c r="F308" s="131"/>
      <c r="G308" s="131"/>
      <c r="H308" s="131"/>
      <c r="I308" s="131"/>
      <c r="J308" s="131"/>
      <c r="K308" s="131">
        <v>101860</v>
      </c>
      <c r="L308" s="131">
        <v>101860</v>
      </c>
      <c r="M308" s="131">
        <v>0</v>
      </c>
      <c r="N308" s="132">
        <f>L308</f>
        <v>101860</v>
      </c>
      <c r="O308" s="132">
        <v>0</v>
      </c>
      <c r="P308" s="127">
        <f t="shared" si="40"/>
        <v>1</v>
      </c>
    </row>
    <row r="309" spans="1:16" ht="45" customHeight="1">
      <c r="A309" s="134"/>
      <c r="B309" s="140" t="s">
        <v>683</v>
      </c>
      <c r="C309" s="74" t="s">
        <v>684</v>
      </c>
      <c r="D309" s="131"/>
      <c r="E309" s="131"/>
      <c r="F309" s="131"/>
      <c r="G309" s="131"/>
      <c r="H309" s="131"/>
      <c r="I309" s="131"/>
      <c r="J309" s="131"/>
      <c r="K309" s="131">
        <v>163935</v>
      </c>
      <c r="L309" s="131">
        <v>161381</v>
      </c>
      <c r="M309" s="131">
        <v>0</v>
      </c>
      <c r="N309" s="132">
        <f>L309</f>
        <v>161381</v>
      </c>
      <c r="O309" s="132">
        <v>0</v>
      </c>
      <c r="P309" s="127">
        <f t="shared" si="40"/>
        <v>0.9844206545277091</v>
      </c>
    </row>
    <row r="310" spans="1:16" ht="21" customHeight="1">
      <c r="A310" s="448" t="s">
        <v>639</v>
      </c>
      <c r="B310" s="449"/>
      <c r="C310" s="450" t="s">
        <v>640</v>
      </c>
      <c r="D310" s="451"/>
      <c r="E310" s="451"/>
      <c r="F310" s="451"/>
      <c r="G310" s="451"/>
      <c r="H310" s="451"/>
      <c r="I310" s="451"/>
      <c r="J310" s="451"/>
      <c r="K310" s="451">
        <f>K311+K312+K313+K314+K315</f>
        <v>73470</v>
      </c>
      <c r="L310" s="451">
        <f>L311+L312+L313+L314+L315</f>
        <v>73470</v>
      </c>
      <c r="M310" s="451">
        <f>M311+M312+M313+M314+M315</f>
        <v>0</v>
      </c>
      <c r="N310" s="451">
        <f>N311+N312+N313+N314+N315</f>
        <v>73470</v>
      </c>
      <c r="O310" s="451">
        <f>O311+O312+O313+O314+O315</f>
        <v>0</v>
      </c>
      <c r="P310" s="458">
        <f t="shared" si="40"/>
        <v>1</v>
      </c>
    </row>
    <row r="311" spans="1:16" ht="21" customHeight="1">
      <c r="A311" s="134"/>
      <c r="B311" s="140" t="s">
        <v>225</v>
      </c>
      <c r="C311" s="131" t="s">
        <v>362</v>
      </c>
      <c r="D311" s="131"/>
      <c r="E311" s="131"/>
      <c r="F311" s="131"/>
      <c r="G311" s="131"/>
      <c r="H311" s="131"/>
      <c r="I311" s="131"/>
      <c r="J311" s="131"/>
      <c r="K311" s="131">
        <v>16418</v>
      </c>
      <c r="L311" s="131">
        <v>16418</v>
      </c>
      <c r="M311" s="131">
        <v>0</v>
      </c>
      <c r="N311" s="132">
        <f>L311</f>
        <v>16418</v>
      </c>
      <c r="O311" s="132">
        <v>0</v>
      </c>
      <c r="P311" s="127">
        <f t="shared" si="40"/>
        <v>1</v>
      </c>
    </row>
    <row r="312" spans="1:16" ht="21" customHeight="1">
      <c r="A312" s="134"/>
      <c r="B312" s="140" t="s">
        <v>250</v>
      </c>
      <c r="C312" s="131" t="s">
        <v>266</v>
      </c>
      <c r="D312" s="131"/>
      <c r="E312" s="131"/>
      <c r="F312" s="131"/>
      <c r="G312" s="131"/>
      <c r="H312" s="131"/>
      <c r="I312" s="131"/>
      <c r="J312" s="131"/>
      <c r="K312" s="131">
        <v>935</v>
      </c>
      <c r="L312" s="131">
        <v>935</v>
      </c>
      <c r="M312" s="131">
        <v>0</v>
      </c>
      <c r="N312" s="132">
        <f>L312</f>
        <v>935</v>
      </c>
      <c r="O312" s="132">
        <v>0</v>
      </c>
      <c r="P312" s="127">
        <f t="shared" si="40"/>
        <v>1</v>
      </c>
    </row>
    <row r="313" spans="1:16" ht="21" customHeight="1">
      <c r="A313" s="134"/>
      <c r="B313" s="140" t="s">
        <v>252</v>
      </c>
      <c r="C313" s="74" t="s">
        <v>324</v>
      </c>
      <c r="D313" s="131"/>
      <c r="E313" s="131"/>
      <c r="F313" s="131"/>
      <c r="G313" s="131"/>
      <c r="H313" s="131"/>
      <c r="I313" s="131"/>
      <c r="J313" s="131"/>
      <c r="K313" s="131">
        <v>952</v>
      </c>
      <c r="L313" s="131">
        <v>952</v>
      </c>
      <c r="M313" s="131">
        <v>0</v>
      </c>
      <c r="N313" s="132">
        <f>L313</f>
        <v>952</v>
      </c>
      <c r="O313" s="132">
        <v>0</v>
      </c>
      <c r="P313" s="127">
        <f t="shared" si="40"/>
        <v>1</v>
      </c>
    </row>
    <row r="314" spans="1:16" ht="21" customHeight="1">
      <c r="A314" s="134"/>
      <c r="B314" s="140" t="s">
        <v>228</v>
      </c>
      <c r="C314" s="131" t="s">
        <v>290</v>
      </c>
      <c r="D314" s="131"/>
      <c r="E314" s="131"/>
      <c r="F314" s="131"/>
      <c r="G314" s="131"/>
      <c r="H314" s="131"/>
      <c r="I314" s="131"/>
      <c r="J314" s="131"/>
      <c r="K314" s="131">
        <v>6515</v>
      </c>
      <c r="L314" s="131">
        <v>6515</v>
      </c>
      <c r="M314" s="131">
        <v>0</v>
      </c>
      <c r="N314" s="132">
        <f>L314</f>
        <v>6515</v>
      </c>
      <c r="O314" s="132">
        <v>0</v>
      </c>
      <c r="P314" s="127">
        <f t="shared" si="40"/>
        <v>1</v>
      </c>
    </row>
    <row r="315" spans="1:16" ht="21.75" customHeight="1">
      <c r="A315" s="134"/>
      <c r="B315" s="140" t="s">
        <v>260</v>
      </c>
      <c r="C315" s="74" t="s">
        <v>421</v>
      </c>
      <c r="D315" s="131"/>
      <c r="E315" s="131"/>
      <c r="F315" s="131"/>
      <c r="G315" s="131"/>
      <c r="H315" s="131"/>
      <c r="I315" s="131"/>
      <c r="J315" s="131"/>
      <c r="K315" s="131">
        <v>48650</v>
      </c>
      <c r="L315" s="131">
        <v>48650</v>
      </c>
      <c r="M315" s="131">
        <v>0</v>
      </c>
      <c r="N315" s="132">
        <f>L315</f>
        <v>48650</v>
      </c>
      <c r="O315" s="132">
        <v>0</v>
      </c>
      <c r="P315" s="127">
        <f t="shared" si="40"/>
        <v>1</v>
      </c>
    </row>
    <row r="316" spans="1:16" ht="21" customHeight="1">
      <c r="A316" s="448" t="s">
        <v>393</v>
      </c>
      <c r="B316" s="457"/>
      <c r="C316" s="450" t="s">
        <v>394</v>
      </c>
      <c r="D316" s="451" t="e">
        <f>#REF!</f>
        <v>#REF!</v>
      </c>
      <c r="E316" s="451" t="e">
        <f>#REF!+E317+#REF!</f>
        <v>#REF!</v>
      </c>
      <c r="F316" s="451" t="e">
        <f>#REF!+F317+#REF!</f>
        <v>#REF!</v>
      </c>
      <c r="G316" s="451" t="e">
        <f>#REF!+G317+#REF!</f>
        <v>#REF!</v>
      </c>
      <c r="H316" s="451">
        <f aca="true" t="shared" si="44" ref="H316:O316">H317</f>
        <v>370940</v>
      </c>
      <c r="I316" s="451">
        <f t="shared" si="44"/>
        <v>0</v>
      </c>
      <c r="J316" s="451">
        <f t="shared" si="44"/>
        <v>0</v>
      </c>
      <c r="K316" s="451">
        <f t="shared" si="44"/>
        <v>519000</v>
      </c>
      <c r="L316" s="451">
        <f t="shared" si="44"/>
        <v>519000</v>
      </c>
      <c r="M316" s="451">
        <f t="shared" si="44"/>
        <v>519000</v>
      </c>
      <c r="N316" s="451">
        <f t="shared" si="44"/>
        <v>0</v>
      </c>
      <c r="O316" s="451">
        <f t="shared" si="44"/>
        <v>0</v>
      </c>
      <c r="P316" s="452">
        <f aca="true" t="shared" si="45" ref="P316:P346">L316/K316</f>
        <v>1</v>
      </c>
    </row>
    <row r="317" spans="1:16" ht="13.5" customHeight="1">
      <c r="A317" s="134"/>
      <c r="B317" s="140" t="s">
        <v>395</v>
      </c>
      <c r="C317" s="74" t="s">
        <v>396</v>
      </c>
      <c r="D317" s="131"/>
      <c r="E317" s="131">
        <v>47223</v>
      </c>
      <c r="F317" s="131">
        <v>0</v>
      </c>
      <c r="G317" s="131">
        <v>0</v>
      </c>
      <c r="H317" s="131">
        <v>370940</v>
      </c>
      <c r="I317" s="131">
        <v>0</v>
      </c>
      <c r="J317" s="131">
        <v>0</v>
      </c>
      <c r="K317" s="131">
        <v>519000</v>
      </c>
      <c r="L317" s="131">
        <v>519000</v>
      </c>
      <c r="M317" s="131">
        <f>L317</f>
        <v>519000</v>
      </c>
      <c r="N317" s="132">
        <v>0</v>
      </c>
      <c r="O317" s="132">
        <v>0</v>
      </c>
      <c r="P317" s="127">
        <f t="shared" si="45"/>
        <v>1</v>
      </c>
    </row>
    <row r="318" spans="1:16" ht="15" customHeight="1">
      <c r="A318" s="431" t="s">
        <v>397</v>
      </c>
      <c r="B318" s="431"/>
      <c r="C318" s="433" t="s">
        <v>398</v>
      </c>
      <c r="D318" s="433" t="e">
        <f>D319+D337+D356+D361+D363+#REF!+D380+D408</f>
        <v>#REF!</v>
      </c>
      <c r="E318" s="433" t="e">
        <f>E319+E337+E356+E361+E363+#REF!+E380+E398+E408+#REF!</f>
        <v>#REF!</v>
      </c>
      <c r="F318" s="433" t="e">
        <f>F319+F337+F356+F361+F363+#REF!+F380+F398+F408+#REF!</f>
        <v>#REF!</v>
      </c>
      <c r="G318" s="433" t="e">
        <f>G319+G337+G356+G361+G363+#REF!+G380+G398+G408+#REF!</f>
        <v>#REF!</v>
      </c>
      <c r="H318" s="433" t="e">
        <f>H319+H337+H356+H361+H363+#REF!+H380+H398+H408+#REF!</f>
        <v>#REF!</v>
      </c>
      <c r="I318" s="433" t="e">
        <f>I319+I337+I356+I361+I363+#REF!+I380+I398+I408+#REF!</f>
        <v>#REF!</v>
      </c>
      <c r="J318" s="433" t="e">
        <f>J319+J337+J356+J361+J363+#REF!+J380+J398+J408+#REF!</f>
        <v>#REF!</v>
      </c>
      <c r="K318" s="433">
        <f>K319+K337+K356+K361+K363+K377+K380+K390+K393</f>
        <v>3432985</v>
      </c>
      <c r="L318" s="433">
        <f>L319+L337+L356+L361+L363+L377+L380+L390+L393</f>
        <v>3432985</v>
      </c>
      <c r="M318" s="433">
        <f>M319+M337+M356+M361+M363+M377+M380+M390+M393</f>
        <v>9381</v>
      </c>
      <c r="N318" s="433">
        <f>N319+N337+N356+N361+N363+N377+N380+N390+N393</f>
        <v>3072138</v>
      </c>
      <c r="O318" s="433">
        <f>O319+O337+O356+O361+O363+O377+O380+O390+O393</f>
        <v>351466</v>
      </c>
      <c r="P318" s="430">
        <f t="shared" si="45"/>
        <v>1</v>
      </c>
    </row>
    <row r="319" spans="1:16" ht="14.25" customHeight="1">
      <c r="A319" s="449" t="s">
        <v>147</v>
      </c>
      <c r="B319" s="449"/>
      <c r="C319" s="450" t="s">
        <v>399</v>
      </c>
      <c r="D319" s="451" t="e">
        <f>D322+D323+D324+#REF!</f>
        <v>#REF!</v>
      </c>
      <c r="E319" s="451" t="e">
        <f>E322+E323+E324+E325+#REF!+#REF!+#REF!+#REF!+E326+E327+#REF!+E329+#REF!+E330+E332+E333+E334+E335</f>
        <v>#REF!</v>
      </c>
      <c r="F319" s="451" t="e">
        <f>F322+F323+F324+F325+#REF!+#REF!+#REF!+#REF!+F326+F327+#REF!+F329+#REF!+F330+F332+F333+F334+F335</f>
        <v>#REF!</v>
      </c>
      <c r="G319" s="451" t="e">
        <f>G322+G323+G324+G325+#REF!+#REF!+#REF!+#REF!+G326+G327+#REF!+G329+#REF!+G330+G332+G333+G334+G335</f>
        <v>#REF!</v>
      </c>
      <c r="H319" s="451" t="e">
        <f>H322+H323+H324+H325+#REF!+#REF!+H326+H327+H329+H330+H332+H333+H334+H335+H328</f>
        <v>#REF!</v>
      </c>
      <c r="I319" s="451" t="e">
        <f>I322+I323+I324+I325+#REF!+#REF!+I326+I327+I329+I330+I332+I333+I334+I335+I328</f>
        <v>#REF!</v>
      </c>
      <c r="J319" s="451" t="e">
        <f>J322+J323+J324+J325+#REF!+#REF!+J326+J327+J329+J330+J332+J333+J334+J335+J328</f>
        <v>#REF!</v>
      </c>
      <c r="K319" s="451">
        <f>K320+K321+K322+K323+K324+K325+K326+K327+K328+K329+K330+K331+K332+K333+K334+K335+K336</f>
        <v>1176609</v>
      </c>
      <c r="L319" s="451">
        <f>L320+L321+L322+L323+L324+L325+L326+L327+L328+L329+L330+L331+L332+L333+L334+L335+L336</f>
        <v>1176609</v>
      </c>
      <c r="M319" s="451">
        <f>M320+M321+M322+M323+M324+M325+M326+M327+M328+M329+M330+M331+M332+M333+M334+M335+M336</f>
        <v>0</v>
      </c>
      <c r="N319" s="451">
        <f>N320+N321+N322+N323+N324+N325+N326+N327+N328+N329+N330+N331+N332+N333+N334+N335+N336</f>
        <v>847832</v>
      </c>
      <c r="O319" s="451">
        <f>O320+O321+O322+O323+O324+O325+O326+O327+O328+O329+O330+O331+O332+O333+O334+O335+O336</f>
        <v>328777</v>
      </c>
      <c r="P319" s="452">
        <f t="shared" si="45"/>
        <v>1</v>
      </c>
    </row>
    <row r="320" spans="1:16" ht="14.25" customHeight="1">
      <c r="A320" s="129"/>
      <c r="B320" s="140" t="s">
        <v>215</v>
      </c>
      <c r="C320" s="74" t="s">
        <v>400</v>
      </c>
      <c r="D320" s="131"/>
      <c r="E320" s="131"/>
      <c r="F320" s="131"/>
      <c r="G320" s="131"/>
      <c r="H320" s="131"/>
      <c r="I320" s="131"/>
      <c r="J320" s="131"/>
      <c r="K320" s="131">
        <v>765</v>
      </c>
      <c r="L320" s="131">
        <v>765</v>
      </c>
      <c r="M320" s="131">
        <v>0</v>
      </c>
      <c r="N320" s="132">
        <f aca="true" t="shared" si="46" ref="N320:N334">L320</f>
        <v>765</v>
      </c>
      <c r="O320" s="132">
        <v>0</v>
      </c>
      <c r="P320" s="127">
        <f t="shared" si="45"/>
        <v>1</v>
      </c>
    </row>
    <row r="321" spans="1:16" ht="14.25" customHeight="1">
      <c r="A321" s="129"/>
      <c r="B321" s="140" t="s">
        <v>401</v>
      </c>
      <c r="C321" s="74" t="s">
        <v>402</v>
      </c>
      <c r="D321" s="131"/>
      <c r="E321" s="131"/>
      <c r="F321" s="131"/>
      <c r="G321" s="131"/>
      <c r="H321" s="131"/>
      <c r="I321" s="131"/>
      <c r="J321" s="131"/>
      <c r="K321" s="131">
        <v>51940</v>
      </c>
      <c r="L321" s="131">
        <v>51940</v>
      </c>
      <c r="M321" s="131">
        <v>0</v>
      </c>
      <c r="N321" s="132">
        <f t="shared" si="46"/>
        <v>51940</v>
      </c>
      <c r="O321" s="132">
        <v>0</v>
      </c>
      <c r="P321" s="127">
        <f t="shared" si="45"/>
        <v>1</v>
      </c>
    </row>
    <row r="322" spans="1:16" ht="15" customHeight="1">
      <c r="A322" s="129"/>
      <c r="B322" s="140" t="s">
        <v>238</v>
      </c>
      <c r="C322" s="74" t="s">
        <v>277</v>
      </c>
      <c r="D322" s="131">
        <v>956632</v>
      </c>
      <c r="E322" s="131">
        <v>1089025</v>
      </c>
      <c r="F322" s="131">
        <v>0</v>
      </c>
      <c r="G322" s="131">
        <v>0</v>
      </c>
      <c r="H322" s="131">
        <v>335820</v>
      </c>
      <c r="I322" s="131">
        <v>23927</v>
      </c>
      <c r="J322" s="131">
        <v>0</v>
      </c>
      <c r="K322" s="131">
        <v>452228</v>
      </c>
      <c r="L322" s="131">
        <v>452228</v>
      </c>
      <c r="M322" s="131">
        <v>0</v>
      </c>
      <c r="N322" s="132">
        <f t="shared" si="46"/>
        <v>452228</v>
      </c>
      <c r="O322" s="132">
        <v>0</v>
      </c>
      <c r="P322" s="127">
        <f t="shared" si="45"/>
        <v>1</v>
      </c>
    </row>
    <row r="323" spans="1:16" ht="15.75" customHeight="1">
      <c r="A323" s="129"/>
      <c r="B323" s="140" t="s">
        <v>240</v>
      </c>
      <c r="C323" s="74" t="s">
        <v>241</v>
      </c>
      <c r="D323" s="74">
        <v>70520</v>
      </c>
      <c r="E323" s="131">
        <v>77400</v>
      </c>
      <c r="F323" s="131">
        <v>0</v>
      </c>
      <c r="G323" s="131">
        <v>0</v>
      </c>
      <c r="H323" s="131">
        <v>29155</v>
      </c>
      <c r="I323" s="131">
        <v>0</v>
      </c>
      <c r="J323" s="131">
        <v>95</v>
      </c>
      <c r="K323" s="131">
        <v>29403</v>
      </c>
      <c r="L323" s="131">
        <v>29403</v>
      </c>
      <c r="M323" s="131">
        <v>0</v>
      </c>
      <c r="N323" s="132">
        <f t="shared" si="46"/>
        <v>29403</v>
      </c>
      <c r="O323" s="132">
        <v>0</v>
      </c>
      <c r="P323" s="127">
        <f t="shared" si="45"/>
        <v>1</v>
      </c>
    </row>
    <row r="324" spans="1:16" ht="15" customHeight="1">
      <c r="A324" s="129"/>
      <c r="B324" s="135" t="s">
        <v>280</v>
      </c>
      <c r="C324" s="74" t="s">
        <v>288</v>
      </c>
      <c r="D324" s="131">
        <v>208573</v>
      </c>
      <c r="E324" s="131">
        <v>207904</v>
      </c>
      <c r="F324" s="131">
        <v>0</v>
      </c>
      <c r="G324" s="131">
        <v>0</v>
      </c>
      <c r="H324" s="131">
        <v>65200</v>
      </c>
      <c r="I324" s="131">
        <v>0</v>
      </c>
      <c r="J324" s="131">
        <v>2358</v>
      </c>
      <c r="K324" s="131">
        <v>79435</v>
      </c>
      <c r="L324" s="131">
        <v>79435</v>
      </c>
      <c r="M324" s="131">
        <v>0</v>
      </c>
      <c r="N324" s="132">
        <f t="shared" si="46"/>
        <v>79435</v>
      </c>
      <c r="O324" s="132">
        <v>0</v>
      </c>
      <c r="P324" s="127">
        <f t="shared" si="45"/>
        <v>1</v>
      </c>
    </row>
    <row r="325" spans="1:16" ht="14.25" customHeight="1">
      <c r="A325" s="129"/>
      <c r="B325" s="135" t="s">
        <v>244</v>
      </c>
      <c r="C325" s="74" t="s">
        <v>245</v>
      </c>
      <c r="D325" s="131"/>
      <c r="E325" s="131">
        <v>27489</v>
      </c>
      <c r="F325" s="131">
        <v>0</v>
      </c>
      <c r="G325" s="131">
        <v>0</v>
      </c>
      <c r="H325" s="131">
        <v>8940</v>
      </c>
      <c r="I325" s="131">
        <v>0</v>
      </c>
      <c r="J325" s="131">
        <v>259</v>
      </c>
      <c r="K325" s="131">
        <v>11371</v>
      </c>
      <c r="L325" s="131">
        <v>11371</v>
      </c>
      <c r="M325" s="131">
        <v>0</v>
      </c>
      <c r="N325" s="132">
        <f t="shared" si="46"/>
        <v>11371</v>
      </c>
      <c r="O325" s="132">
        <v>0</v>
      </c>
      <c r="P325" s="127">
        <f t="shared" si="45"/>
        <v>1</v>
      </c>
    </row>
    <row r="326" spans="1:16" ht="16.5" customHeight="1">
      <c r="A326" s="129"/>
      <c r="B326" s="140" t="s">
        <v>225</v>
      </c>
      <c r="C326" s="131" t="s">
        <v>362</v>
      </c>
      <c r="D326" s="131"/>
      <c r="E326" s="131">
        <v>96956</v>
      </c>
      <c r="F326" s="131">
        <v>0</v>
      </c>
      <c r="G326" s="131">
        <v>0</v>
      </c>
      <c r="H326" s="131">
        <v>47920</v>
      </c>
      <c r="I326" s="131">
        <v>0</v>
      </c>
      <c r="J326" s="131">
        <v>4979</v>
      </c>
      <c r="K326" s="131">
        <v>19227</v>
      </c>
      <c r="L326" s="131">
        <v>19227</v>
      </c>
      <c r="M326" s="131">
        <v>0</v>
      </c>
      <c r="N326" s="132">
        <f t="shared" si="46"/>
        <v>19227</v>
      </c>
      <c r="O326" s="132">
        <v>0</v>
      </c>
      <c r="P326" s="127">
        <f t="shared" si="45"/>
        <v>1</v>
      </c>
    </row>
    <row r="327" spans="1:16" ht="18" customHeight="1">
      <c r="A327" s="129"/>
      <c r="B327" s="140" t="s">
        <v>320</v>
      </c>
      <c r="C327" s="131" t="s">
        <v>403</v>
      </c>
      <c r="D327" s="131"/>
      <c r="E327" s="131">
        <v>188099</v>
      </c>
      <c r="F327" s="131">
        <v>0</v>
      </c>
      <c r="G327" s="131">
        <v>0</v>
      </c>
      <c r="H327" s="131">
        <v>50136</v>
      </c>
      <c r="I327" s="131">
        <v>1537</v>
      </c>
      <c r="J327" s="131">
        <v>0</v>
      </c>
      <c r="K327" s="131">
        <v>64843</v>
      </c>
      <c r="L327" s="131">
        <v>64843</v>
      </c>
      <c r="M327" s="131">
        <v>0</v>
      </c>
      <c r="N327" s="132">
        <f t="shared" si="46"/>
        <v>64843</v>
      </c>
      <c r="O327" s="132">
        <v>0</v>
      </c>
      <c r="P327" s="127">
        <f t="shared" si="45"/>
        <v>1</v>
      </c>
    </row>
    <row r="328" spans="1:16" ht="17.25" customHeight="1">
      <c r="A328" s="129"/>
      <c r="B328" s="140" t="s">
        <v>404</v>
      </c>
      <c r="C328" s="131" t="s">
        <v>405</v>
      </c>
      <c r="D328" s="131"/>
      <c r="E328" s="131"/>
      <c r="F328" s="131"/>
      <c r="G328" s="131"/>
      <c r="H328" s="131">
        <v>1500</v>
      </c>
      <c r="I328" s="131">
        <v>0</v>
      </c>
      <c r="J328" s="131">
        <v>0</v>
      </c>
      <c r="K328" s="131">
        <v>2400</v>
      </c>
      <c r="L328" s="131">
        <v>2400</v>
      </c>
      <c r="M328" s="131">
        <v>0</v>
      </c>
      <c r="N328" s="132">
        <f t="shared" si="46"/>
        <v>2400</v>
      </c>
      <c r="O328" s="132">
        <v>0</v>
      </c>
      <c r="P328" s="127">
        <f t="shared" si="45"/>
        <v>1</v>
      </c>
    </row>
    <row r="329" spans="1:16" ht="17.25" customHeight="1">
      <c r="A329" s="129"/>
      <c r="B329" s="140" t="s">
        <v>250</v>
      </c>
      <c r="C329" s="131" t="s">
        <v>266</v>
      </c>
      <c r="D329" s="131"/>
      <c r="E329" s="131">
        <v>82690</v>
      </c>
      <c r="F329" s="131">
        <v>0</v>
      </c>
      <c r="G329" s="131">
        <v>0</v>
      </c>
      <c r="H329" s="131">
        <v>97129</v>
      </c>
      <c r="I329" s="131">
        <v>0</v>
      </c>
      <c r="J329" s="131">
        <v>18000</v>
      </c>
      <c r="K329" s="131">
        <v>87642</v>
      </c>
      <c r="L329" s="131">
        <v>87642</v>
      </c>
      <c r="M329" s="131">
        <v>0</v>
      </c>
      <c r="N329" s="132">
        <f t="shared" si="46"/>
        <v>87642</v>
      </c>
      <c r="O329" s="132">
        <v>0</v>
      </c>
      <c r="P329" s="127">
        <f t="shared" si="45"/>
        <v>1</v>
      </c>
    </row>
    <row r="330" spans="1:16" ht="17.25" customHeight="1">
      <c r="A330" s="129"/>
      <c r="B330" s="140" t="s">
        <v>228</v>
      </c>
      <c r="C330" s="131" t="s">
        <v>290</v>
      </c>
      <c r="D330" s="131"/>
      <c r="E330" s="131">
        <v>39235</v>
      </c>
      <c r="F330" s="131">
        <v>0</v>
      </c>
      <c r="G330" s="131">
        <v>0</v>
      </c>
      <c r="H330" s="131">
        <v>8500</v>
      </c>
      <c r="I330" s="131">
        <v>1354</v>
      </c>
      <c r="J330" s="131">
        <v>0</v>
      </c>
      <c r="K330" s="131">
        <v>20680</v>
      </c>
      <c r="L330" s="131">
        <v>20680</v>
      </c>
      <c r="M330" s="131">
        <v>0</v>
      </c>
      <c r="N330" s="132">
        <f t="shared" si="46"/>
        <v>20680</v>
      </c>
      <c r="O330" s="132">
        <v>0</v>
      </c>
      <c r="P330" s="127">
        <f t="shared" si="45"/>
        <v>1</v>
      </c>
    </row>
    <row r="331" spans="1:16" ht="17.25" customHeight="1">
      <c r="A331" s="129"/>
      <c r="B331" s="140" t="s">
        <v>667</v>
      </c>
      <c r="C331" s="131" t="s">
        <v>668</v>
      </c>
      <c r="D331" s="131"/>
      <c r="E331" s="131"/>
      <c r="F331" s="131"/>
      <c r="G331" s="131"/>
      <c r="H331" s="131"/>
      <c r="I331" s="131"/>
      <c r="J331" s="131"/>
      <c r="K331" s="131">
        <v>1607</v>
      </c>
      <c r="L331" s="131">
        <v>1607</v>
      </c>
      <c r="M331" s="131"/>
      <c r="N331" s="132">
        <f t="shared" si="46"/>
        <v>1607</v>
      </c>
      <c r="O331" s="132"/>
      <c r="P331" s="127">
        <f t="shared" si="45"/>
        <v>1</v>
      </c>
    </row>
    <row r="332" spans="1:16" ht="16.5" customHeight="1">
      <c r="A332" s="129"/>
      <c r="B332" s="140" t="s">
        <v>254</v>
      </c>
      <c r="C332" s="131" t="s">
        <v>255</v>
      </c>
      <c r="D332" s="131"/>
      <c r="E332" s="131">
        <v>2500</v>
      </c>
      <c r="F332" s="131">
        <v>0</v>
      </c>
      <c r="G332" s="131">
        <v>0</v>
      </c>
      <c r="H332" s="131">
        <v>500</v>
      </c>
      <c r="I332" s="131">
        <v>169</v>
      </c>
      <c r="J332" s="131">
        <v>0</v>
      </c>
      <c r="K332" s="131">
        <v>1978</v>
      </c>
      <c r="L332" s="131">
        <v>1978</v>
      </c>
      <c r="M332" s="131">
        <v>0</v>
      </c>
      <c r="N332" s="132">
        <f t="shared" si="46"/>
        <v>1978</v>
      </c>
      <c r="O332" s="132">
        <v>0</v>
      </c>
      <c r="P332" s="127">
        <f t="shared" si="45"/>
        <v>1</v>
      </c>
    </row>
    <row r="333" spans="1:16" ht="16.5" customHeight="1">
      <c r="A333" s="129"/>
      <c r="B333" s="140" t="s">
        <v>219</v>
      </c>
      <c r="C333" s="131" t="s">
        <v>220</v>
      </c>
      <c r="D333" s="131"/>
      <c r="E333" s="131">
        <v>3300</v>
      </c>
      <c r="F333" s="131">
        <v>0</v>
      </c>
      <c r="G333" s="131">
        <v>0</v>
      </c>
      <c r="H333" s="131">
        <v>700</v>
      </c>
      <c r="I333" s="131">
        <v>0</v>
      </c>
      <c r="J333" s="131">
        <v>60</v>
      </c>
      <c r="K333" s="131">
        <v>768</v>
      </c>
      <c r="L333" s="131">
        <v>768</v>
      </c>
      <c r="M333" s="131">
        <v>0</v>
      </c>
      <c r="N333" s="132">
        <f t="shared" si="46"/>
        <v>768</v>
      </c>
      <c r="O333" s="132">
        <v>0</v>
      </c>
      <c r="P333" s="127">
        <f t="shared" si="45"/>
        <v>1</v>
      </c>
    </row>
    <row r="334" spans="1:16" ht="15.75" customHeight="1">
      <c r="A334" s="129"/>
      <c r="B334" s="140" t="s">
        <v>221</v>
      </c>
      <c r="C334" s="131" t="s">
        <v>222</v>
      </c>
      <c r="D334" s="131"/>
      <c r="E334" s="131">
        <v>50719</v>
      </c>
      <c r="F334" s="131">
        <v>0</v>
      </c>
      <c r="G334" s="131">
        <v>0</v>
      </c>
      <c r="H334" s="131">
        <v>14000</v>
      </c>
      <c r="I334" s="131">
        <v>0</v>
      </c>
      <c r="J334" s="131">
        <v>0</v>
      </c>
      <c r="K334" s="131">
        <v>23545</v>
      </c>
      <c r="L334" s="131">
        <v>23545</v>
      </c>
      <c r="M334" s="131">
        <v>0</v>
      </c>
      <c r="N334" s="132">
        <f t="shared" si="46"/>
        <v>23545</v>
      </c>
      <c r="O334" s="132">
        <v>0</v>
      </c>
      <c r="P334" s="127">
        <f t="shared" si="45"/>
        <v>1</v>
      </c>
    </row>
    <row r="335" spans="1:16" ht="33.75" customHeight="1" hidden="1">
      <c r="A335" s="129"/>
      <c r="B335" s="140" t="s">
        <v>406</v>
      </c>
      <c r="C335" s="74" t="s">
        <v>407</v>
      </c>
      <c r="D335" s="131"/>
      <c r="E335" s="131">
        <v>60000</v>
      </c>
      <c r="F335" s="131">
        <v>0</v>
      </c>
      <c r="G335" s="131">
        <v>0</v>
      </c>
      <c r="H335" s="131">
        <v>0</v>
      </c>
      <c r="I335" s="131">
        <v>0</v>
      </c>
      <c r="J335" s="131">
        <v>0</v>
      </c>
      <c r="K335" s="131">
        <v>0</v>
      </c>
      <c r="L335" s="131"/>
      <c r="M335" s="131">
        <v>0</v>
      </c>
      <c r="N335" s="132">
        <f>K335</f>
        <v>0</v>
      </c>
      <c r="O335" s="132">
        <v>0</v>
      </c>
      <c r="P335" s="127" t="e">
        <f t="shared" si="45"/>
        <v>#DIV/0!</v>
      </c>
    </row>
    <row r="336" spans="1:16" ht="23.25" customHeight="1">
      <c r="A336" s="129"/>
      <c r="B336" s="140" t="s">
        <v>166</v>
      </c>
      <c r="C336" s="74" t="s">
        <v>685</v>
      </c>
      <c r="D336" s="131"/>
      <c r="E336" s="131"/>
      <c r="F336" s="131"/>
      <c r="G336" s="131"/>
      <c r="H336" s="131"/>
      <c r="I336" s="131"/>
      <c r="J336" s="131"/>
      <c r="K336" s="131">
        <v>328777</v>
      </c>
      <c r="L336" s="131">
        <v>328777</v>
      </c>
      <c r="M336" s="131"/>
      <c r="N336" s="132"/>
      <c r="O336" s="132">
        <f>L336</f>
        <v>328777</v>
      </c>
      <c r="P336" s="127">
        <f t="shared" si="45"/>
        <v>1</v>
      </c>
    </row>
    <row r="337" spans="1:16" ht="15.75" customHeight="1">
      <c r="A337" s="449" t="s">
        <v>152</v>
      </c>
      <c r="B337" s="449"/>
      <c r="C337" s="450" t="s">
        <v>151</v>
      </c>
      <c r="D337" s="451">
        <f>D339+D340+D341+D342</f>
        <v>722000</v>
      </c>
      <c r="E337" s="451" t="e">
        <f>E339+E340+E341+E342+#REF!+#REF!+E343+E344+E345+E346+#REF!+E348+E351+E352+E353+E354</f>
        <v>#REF!</v>
      </c>
      <c r="F337" s="451" t="e">
        <f>F339+F340+F341+F342+#REF!+#REF!+F343+F344+F345+F346+#REF!+F348+F351+F352+F353+F354</f>
        <v>#REF!</v>
      </c>
      <c r="G337" s="451" t="e">
        <f>G339+G340+G341+G342+#REF!+#REF!+G343+G344+G345+G346+#REF!+G348+G351+G352+G353+G354</f>
        <v>#REF!</v>
      </c>
      <c r="H337" s="451" t="e">
        <f>H339+H340+H341+H342+#REF!+#REF!+H343+H344+H345+H346+H348+H351+H352+H353+H354+#REF!+H347+H355</f>
        <v>#REF!</v>
      </c>
      <c r="I337" s="451" t="e">
        <f>I339+I340+I341+I342+#REF!+#REF!+I343+I344+I345+I346+I348+I351+I352+I353+I354+#REF!+I347+I355</f>
        <v>#REF!</v>
      </c>
      <c r="J337" s="451" t="e">
        <f>J339+J340+J341+J342+#REF!+#REF!+J343+J344+J345+J346+J348+J351+J352+J353+J354+#REF!+J347+J355</f>
        <v>#REF!</v>
      </c>
      <c r="K337" s="451">
        <f>K338+K339+K340+K341+K342+K343+K344+K345+K346+K347+K348+K349+K350+K351+K352+K353+K354+K355</f>
        <v>934011</v>
      </c>
      <c r="L337" s="451">
        <f>L338+L339+L340+L341+L342+L343+L344+L345+L346+L347+L348+L349+L350+L351+L352+L353+L354+L355</f>
        <v>934011</v>
      </c>
      <c r="M337" s="451">
        <f>M338+M339+M340+M341+M342+M343+M344+M345+M346+M347+M348+M349+M350+M351+M352+M353+M354+M355</f>
        <v>0</v>
      </c>
      <c r="N337" s="451">
        <f>N338+N339+N340+N341+N342+N343+N344+N345+N346+N347+N348+N349+N350+N351+N352+N353+N354+N355</f>
        <v>934011</v>
      </c>
      <c r="O337" s="451">
        <f>O338+O339+O340+O341+O342+O343+O344+O345+O346+O348+O350+O351+O352+O353+O354+O355</f>
        <v>0</v>
      </c>
      <c r="P337" s="452">
        <f t="shared" si="45"/>
        <v>1</v>
      </c>
    </row>
    <row r="338" spans="1:16" ht="15.75" customHeight="1">
      <c r="A338" s="129"/>
      <c r="B338" s="140" t="s">
        <v>215</v>
      </c>
      <c r="C338" s="74" t="s">
        <v>400</v>
      </c>
      <c r="D338" s="131"/>
      <c r="E338" s="131"/>
      <c r="F338" s="131"/>
      <c r="G338" s="131"/>
      <c r="H338" s="131"/>
      <c r="I338" s="131"/>
      <c r="J338" s="131"/>
      <c r="K338" s="131">
        <v>0</v>
      </c>
      <c r="L338" s="131">
        <v>0</v>
      </c>
      <c r="M338" s="131">
        <v>0</v>
      </c>
      <c r="N338" s="132">
        <f aca="true" t="shared" si="47" ref="N338:N355">L338</f>
        <v>0</v>
      </c>
      <c r="O338" s="132">
        <v>0</v>
      </c>
      <c r="P338" s="127">
        <v>0</v>
      </c>
    </row>
    <row r="339" spans="1:16" ht="15.75" customHeight="1">
      <c r="A339" s="134"/>
      <c r="B339" s="140" t="s">
        <v>238</v>
      </c>
      <c r="C339" s="74" t="s">
        <v>277</v>
      </c>
      <c r="D339" s="131">
        <v>365300</v>
      </c>
      <c r="E339" s="131">
        <v>330000</v>
      </c>
      <c r="F339" s="131">
        <v>17400</v>
      </c>
      <c r="G339" s="131">
        <v>0</v>
      </c>
      <c r="H339" s="131">
        <v>350982</v>
      </c>
      <c r="I339" s="131">
        <v>0</v>
      </c>
      <c r="J339" s="131">
        <v>19532</v>
      </c>
      <c r="K339" s="131">
        <v>375775</v>
      </c>
      <c r="L339" s="131">
        <v>375775</v>
      </c>
      <c r="M339" s="131">
        <v>0</v>
      </c>
      <c r="N339" s="132">
        <f t="shared" si="47"/>
        <v>375775</v>
      </c>
      <c r="O339" s="132">
        <v>0</v>
      </c>
      <c r="P339" s="127">
        <f t="shared" si="45"/>
        <v>1</v>
      </c>
    </row>
    <row r="340" spans="1:16" ht="15" customHeight="1">
      <c r="A340" s="134"/>
      <c r="B340" s="140" t="s">
        <v>240</v>
      </c>
      <c r="C340" s="74" t="s">
        <v>241</v>
      </c>
      <c r="D340" s="131">
        <v>30580</v>
      </c>
      <c r="E340" s="131">
        <v>31050</v>
      </c>
      <c r="F340" s="131">
        <v>0</v>
      </c>
      <c r="G340" s="131">
        <v>0</v>
      </c>
      <c r="H340" s="131">
        <v>23796</v>
      </c>
      <c r="I340" s="131">
        <v>0</v>
      </c>
      <c r="J340" s="131">
        <v>0</v>
      </c>
      <c r="K340" s="131">
        <v>28399</v>
      </c>
      <c r="L340" s="131">
        <v>28399</v>
      </c>
      <c r="M340" s="131">
        <v>0</v>
      </c>
      <c r="N340" s="132">
        <f t="shared" si="47"/>
        <v>28399</v>
      </c>
      <c r="O340" s="132">
        <v>0</v>
      </c>
      <c r="P340" s="127">
        <f t="shared" si="45"/>
        <v>1</v>
      </c>
    </row>
    <row r="341" spans="1:16" ht="15.75" customHeight="1">
      <c r="A341" s="134"/>
      <c r="B341" s="135" t="s">
        <v>280</v>
      </c>
      <c r="C341" s="74" t="s">
        <v>288</v>
      </c>
      <c r="D341" s="131">
        <v>77860</v>
      </c>
      <c r="E341" s="131">
        <v>64495</v>
      </c>
      <c r="F341" s="131">
        <v>0</v>
      </c>
      <c r="G341" s="131">
        <v>0</v>
      </c>
      <c r="H341" s="131">
        <v>73896</v>
      </c>
      <c r="I341" s="131">
        <v>0</v>
      </c>
      <c r="J341" s="131">
        <v>11698</v>
      </c>
      <c r="K341" s="131">
        <v>62976</v>
      </c>
      <c r="L341" s="131">
        <v>62976</v>
      </c>
      <c r="M341" s="131">
        <v>0</v>
      </c>
      <c r="N341" s="132">
        <f t="shared" si="47"/>
        <v>62976</v>
      </c>
      <c r="O341" s="132">
        <v>0</v>
      </c>
      <c r="P341" s="127">
        <f t="shared" si="45"/>
        <v>1</v>
      </c>
    </row>
    <row r="342" spans="1:16" ht="15.75" customHeight="1">
      <c r="A342" s="134"/>
      <c r="B342" s="140" t="s">
        <v>244</v>
      </c>
      <c r="C342" s="131" t="s">
        <v>245</v>
      </c>
      <c r="D342" s="131">
        <v>248260</v>
      </c>
      <c r="E342" s="131">
        <v>8850</v>
      </c>
      <c r="F342" s="131">
        <v>0</v>
      </c>
      <c r="G342" s="131">
        <v>0</v>
      </c>
      <c r="H342" s="131">
        <v>9182</v>
      </c>
      <c r="I342" s="131">
        <v>0</v>
      </c>
      <c r="J342" s="131">
        <v>614</v>
      </c>
      <c r="K342" s="131">
        <v>10168</v>
      </c>
      <c r="L342" s="131">
        <v>10168</v>
      </c>
      <c r="M342" s="131">
        <v>0</v>
      </c>
      <c r="N342" s="132">
        <f t="shared" si="47"/>
        <v>10168</v>
      </c>
      <c r="O342" s="132">
        <v>0</v>
      </c>
      <c r="P342" s="127">
        <f t="shared" si="45"/>
        <v>1</v>
      </c>
    </row>
    <row r="343" spans="1:16" ht="15.75" customHeight="1">
      <c r="A343" s="134"/>
      <c r="B343" s="140" t="s">
        <v>225</v>
      </c>
      <c r="C343" s="131" t="s">
        <v>362</v>
      </c>
      <c r="D343" s="131"/>
      <c r="E343" s="131">
        <v>6795</v>
      </c>
      <c r="F343" s="131">
        <v>474</v>
      </c>
      <c r="G343" s="131">
        <v>0</v>
      </c>
      <c r="H343" s="131">
        <v>22137</v>
      </c>
      <c r="I343" s="131">
        <v>18470</v>
      </c>
      <c r="J343" s="131">
        <v>0</v>
      </c>
      <c r="K343" s="131">
        <v>82935</v>
      </c>
      <c r="L343" s="131">
        <v>82935</v>
      </c>
      <c r="M343" s="131">
        <v>0</v>
      </c>
      <c r="N343" s="132">
        <f t="shared" si="47"/>
        <v>82935</v>
      </c>
      <c r="O343" s="132">
        <v>0</v>
      </c>
      <c r="P343" s="127">
        <f t="shared" si="45"/>
        <v>1</v>
      </c>
    </row>
    <row r="344" spans="1:16" ht="15.75" customHeight="1">
      <c r="A344" s="134"/>
      <c r="B344" s="140" t="s">
        <v>320</v>
      </c>
      <c r="C344" s="131" t="s">
        <v>403</v>
      </c>
      <c r="D344" s="131"/>
      <c r="E344" s="131">
        <v>40000</v>
      </c>
      <c r="F344" s="131">
        <v>10000</v>
      </c>
      <c r="G344" s="131">
        <v>0</v>
      </c>
      <c r="H344" s="131">
        <v>76000</v>
      </c>
      <c r="I344" s="131">
        <v>0</v>
      </c>
      <c r="J344" s="131">
        <v>0</v>
      </c>
      <c r="K344" s="131">
        <v>75000</v>
      </c>
      <c r="L344" s="131">
        <v>75000</v>
      </c>
      <c r="M344" s="131">
        <v>0</v>
      </c>
      <c r="N344" s="132">
        <f t="shared" si="47"/>
        <v>75000</v>
      </c>
      <c r="O344" s="132">
        <v>0</v>
      </c>
      <c r="P344" s="127">
        <f t="shared" si="45"/>
        <v>1</v>
      </c>
    </row>
    <row r="345" spans="1:16" ht="16.5" customHeight="1">
      <c r="A345" s="134"/>
      <c r="B345" s="140" t="s">
        <v>404</v>
      </c>
      <c r="C345" s="131" t="s">
        <v>405</v>
      </c>
      <c r="D345" s="131"/>
      <c r="E345" s="131">
        <v>4000</v>
      </c>
      <c r="F345" s="131">
        <v>0</v>
      </c>
      <c r="G345" s="131">
        <v>0</v>
      </c>
      <c r="H345" s="131">
        <v>5800</v>
      </c>
      <c r="I345" s="131">
        <v>0</v>
      </c>
      <c r="J345" s="131">
        <v>411</v>
      </c>
      <c r="K345" s="131">
        <v>7058</v>
      </c>
      <c r="L345" s="131">
        <v>7058</v>
      </c>
      <c r="M345" s="131">
        <v>0</v>
      </c>
      <c r="N345" s="132">
        <f t="shared" si="47"/>
        <v>7058</v>
      </c>
      <c r="O345" s="132">
        <v>0</v>
      </c>
      <c r="P345" s="127">
        <f t="shared" si="45"/>
        <v>1</v>
      </c>
    </row>
    <row r="346" spans="1:16" ht="16.5" customHeight="1">
      <c r="A346" s="134"/>
      <c r="B346" s="140" t="s">
        <v>250</v>
      </c>
      <c r="C346" s="131" t="s">
        <v>266</v>
      </c>
      <c r="D346" s="131"/>
      <c r="E346" s="131">
        <v>62480</v>
      </c>
      <c r="F346" s="131">
        <v>4000</v>
      </c>
      <c r="G346" s="131">
        <v>0</v>
      </c>
      <c r="H346" s="131">
        <v>89314</v>
      </c>
      <c r="I346" s="131">
        <v>2686</v>
      </c>
      <c r="J346" s="131">
        <v>0</v>
      </c>
      <c r="K346" s="131">
        <v>90391</v>
      </c>
      <c r="L346" s="131">
        <v>90391</v>
      </c>
      <c r="M346" s="131">
        <v>0</v>
      </c>
      <c r="N346" s="132">
        <f t="shared" si="47"/>
        <v>90391</v>
      </c>
      <c r="O346" s="132">
        <v>0</v>
      </c>
      <c r="P346" s="127">
        <f t="shared" si="45"/>
        <v>1</v>
      </c>
    </row>
    <row r="347" spans="1:16" ht="15" customHeight="1">
      <c r="A347" s="134"/>
      <c r="B347" s="140" t="s">
        <v>252</v>
      </c>
      <c r="C347" s="131" t="s">
        <v>324</v>
      </c>
      <c r="D347" s="131"/>
      <c r="E347" s="131"/>
      <c r="F347" s="131"/>
      <c r="G347" s="131"/>
      <c r="H347" s="131">
        <v>7119</v>
      </c>
      <c r="I347" s="131">
        <v>0</v>
      </c>
      <c r="J347" s="131">
        <v>7119</v>
      </c>
      <c r="K347" s="131">
        <v>101414</v>
      </c>
      <c r="L347" s="131">
        <v>101414</v>
      </c>
      <c r="M347" s="131">
        <v>0</v>
      </c>
      <c r="N347" s="132">
        <f t="shared" si="47"/>
        <v>101414</v>
      </c>
      <c r="O347" s="132">
        <v>0</v>
      </c>
      <c r="P347" s="127">
        <v>0</v>
      </c>
    </row>
    <row r="348" spans="1:16" ht="16.5" customHeight="1">
      <c r="A348" s="134"/>
      <c r="B348" s="140" t="s">
        <v>228</v>
      </c>
      <c r="C348" s="131" t="s">
        <v>290</v>
      </c>
      <c r="D348" s="131"/>
      <c r="E348" s="131">
        <v>5000</v>
      </c>
      <c r="F348" s="131">
        <v>0</v>
      </c>
      <c r="G348" s="131">
        <v>0</v>
      </c>
      <c r="H348" s="131">
        <v>32500</v>
      </c>
      <c r="I348" s="131">
        <v>0</v>
      </c>
      <c r="J348" s="131">
        <v>0</v>
      </c>
      <c r="K348" s="131">
        <v>74882</v>
      </c>
      <c r="L348" s="131">
        <v>74882</v>
      </c>
      <c r="M348" s="131">
        <v>0</v>
      </c>
      <c r="N348" s="132">
        <f t="shared" si="47"/>
        <v>74882</v>
      </c>
      <c r="O348" s="132">
        <v>0</v>
      </c>
      <c r="P348" s="127">
        <f aca="true" t="shared" si="48" ref="P348:P381">L348/K348</f>
        <v>1</v>
      </c>
    </row>
    <row r="349" spans="1:16" ht="16.5" customHeight="1">
      <c r="A349" s="134"/>
      <c r="B349" s="140" t="s">
        <v>667</v>
      </c>
      <c r="C349" s="131" t="s">
        <v>668</v>
      </c>
      <c r="D349" s="131"/>
      <c r="E349" s="131"/>
      <c r="F349" s="131"/>
      <c r="G349" s="131"/>
      <c r="H349" s="131"/>
      <c r="I349" s="131"/>
      <c r="J349" s="131"/>
      <c r="K349" s="131">
        <v>373</v>
      </c>
      <c r="L349" s="131">
        <v>373</v>
      </c>
      <c r="M349" s="131">
        <v>0</v>
      </c>
      <c r="N349" s="132">
        <f t="shared" si="47"/>
        <v>373</v>
      </c>
      <c r="O349" s="132">
        <v>0</v>
      </c>
      <c r="P349" s="127">
        <f t="shared" si="48"/>
        <v>1</v>
      </c>
    </row>
    <row r="350" spans="1:16" ht="15" customHeight="1">
      <c r="A350" s="134"/>
      <c r="B350" s="140" t="s">
        <v>254</v>
      </c>
      <c r="C350" s="131" t="s">
        <v>255</v>
      </c>
      <c r="D350" s="131"/>
      <c r="E350" s="131"/>
      <c r="F350" s="131"/>
      <c r="G350" s="131"/>
      <c r="H350" s="131"/>
      <c r="I350" s="131"/>
      <c r="J350" s="131"/>
      <c r="K350" s="131">
        <v>2012</v>
      </c>
      <c r="L350" s="131">
        <v>2012</v>
      </c>
      <c r="M350" s="131">
        <v>0</v>
      </c>
      <c r="N350" s="132">
        <f t="shared" si="47"/>
        <v>2012</v>
      </c>
      <c r="O350" s="132">
        <v>0</v>
      </c>
      <c r="P350" s="127">
        <f t="shared" si="48"/>
        <v>1</v>
      </c>
    </row>
    <row r="351" spans="1:16" ht="16.5" customHeight="1">
      <c r="A351" s="134"/>
      <c r="B351" s="140" t="s">
        <v>299</v>
      </c>
      <c r="C351" s="131" t="s">
        <v>300</v>
      </c>
      <c r="D351" s="131"/>
      <c r="E351" s="131">
        <v>2000</v>
      </c>
      <c r="F351" s="131">
        <v>0</v>
      </c>
      <c r="G351" s="131">
        <v>400</v>
      </c>
      <c r="H351" s="131">
        <v>1594</v>
      </c>
      <c r="I351" s="131">
        <v>333</v>
      </c>
      <c r="J351" s="131">
        <v>0</v>
      </c>
      <c r="K351" s="131">
        <v>157</v>
      </c>
      <c r="L351" s="131">
        <v>157</v>
      </c>
      <c r="M351" s="131">
        <v>0</v>
      </c>
      <c r="N351" s="132">
        <f t="shared" si="47"/>
        <v>157</v>
      </c>
      <c r="O351" s="132">
        <v>0</v>
      </c>
      <c r="P351" s="127">
        <f t="shared" si="48"/>
        <v>1</v>
      </c>
    </row>
    <row r="352" spans="1:16" ht="15.75" customHeight="1">
      <c r="A352" s="134"/>
      <c r="B352" s="140" t="s">
        <v>221</v>
      </c>
      <c r="C352" s="131" t="s">
        <v>222</v>
      </c>
      <c r="D352" s="131"/>
      <c r="E352" s="131">
        <v>13110</v>
      </c>
      <c r="F352" s="131">
        <v>0</v>
      </c>
      <c r="G352" s="131">
        <v>0</v>
      </c>
      <c r="H352" s="131">
        <v>14000</v>
      </c>
      <c r="I352" s="131">
        <v>0</v>
      </c>
      <c r="J352" s="131">
        <v>75</v>
      </c>
      <c r="K352" s="131">
        <v>19673</v>
      </c>
      <c r="L352" s="131">
        <v>19673</v>
      </c>
      <c r="M352" s="131">
        <v>0</v>
      </c>
      <c r="N352" s="132">
        <f t="shared" si="47"/>
        <v>19673</v>
      </c>
      <c r="O352" s="132">
        <v>0</v>
      </c>
      <c r="P352" s="127">
        <f t="shared" si="48"/>
        <v>1</v>
      </c>
    </row>
    <row r="353" spans="1:16" ht="16.5" customHeight="1">
      <c r="A353" s="134"/>
      <c r="B353" s="140" t="s">
        <v>256</v>
      </c>
      <c r="C353" s="131" t="s">
        <v>257</v>
      </c>
      <c r="D353" s="131"/>
      <c r="E353" s="131">
        <v>1000</v>
      </c>
      <c r="F353" s="131">
        <v>0</v>
      </c>
      <c r="G353" s="131">
        <v>60</v>
      </c>
      <c r="H353" s="131">
        <v>1896</v>
      </c>
      <c r="I353" s="131">
        <v>0</v>
      </c>
      <c r="J353" s="131">
        <v>0</v>
      </c>
      <c r="K353" s="131">
        <v>2372</v>
      </c>
      <c r="L353" s="131">
        <v>2372</v>
      </c>
      <c r="M353" s="131">
        <v>0</v>
      </c>
      <c r="N353" s="132">
        <f t="shared" si="47"/>
        <v>2372</v>
      </c>
      <c r="O353" s="132">
        <v>0</v>
      </c>
      <c r="P353" s="127">
        <f t="shared" si="48"/>
        <v>1</v>
      </c>
    </row>
    <row r="354" spans="1:16" ht="15.75" customHeight="1">
      <c r="A354" s="134"/>
      <c r="B354" s="140" t="s">
        <v>269</v>
      </c>
      <c r="C354" s="131" t="s">
        <v>328</v>
      </c>
      <c r="D354" s="131"/>
      <c r="E354" s="131">
        <v>500</v>
      </c>
      <c r="F354" s="131">
        <v>0</v>
      </c>
      <c r="G354" s="131">
        <v>70</v>
      </c>
      <c r="H354" s="131">
        <v>427</v>
      </c>
      <c r="I354" s="131">
        <v>0</v>
      </c>
      <c r="J354" s="131">
        <v>0</v>
      </c>
      <c r="K354" s="131">
        <v>426</v>
      </c>
      <c r="L354" s="131">
        <v>426</v>
      </c>
      <c r="M354" s="131">
        <v>0</v>
      </c>
      <c r="N354" s="132">
        <f t="shared" si="47"/>
        <v>426</v>
      </c>
      <c r="O354" s="132">
        <v>0</v>
      </c>
      <c r="P354" s="127">
        <f t="shared" si="48"/>
        <v>1</v>
      </c>
    </row>
    <row r="355" spans="1:16" ht="15.75" customHeight="1">
      <c r="A355" s="134"/>
      <c r="B355" s="140" t="s">
        <v>258</v>
      </c>
      <c r="C355" s="74" t="s">
        <v>408</v>
      </c>
      <c r="D355" s="131"/>
      <c r="E355" s="131"/>
      <c r="F355" s="131"/>
      <c r="G355" s="131"/>
      <c r="H355" s="131">
        <v>0</v>
      </c>
      <c r="I355" s="131">
        <v>20000</v>
      </c>
      <c r="J355" s="131">
        <v>0</v>
      </c>
      <c r="K355" s="131">
        <v>0</v>
      </c>
      <c r="L355" s="131">
        <v>0</v>
      </c>
      <c r="M355" s="131">
        <v>0</v>
      </c>
      <c r="N355" s="132">
        <f t="shared" si="47"/>
        <v>0</v>
      </c>
      <c r="O355" s="132">
        <v>0</v>
      </c>
      <c r="P355" s="127">
        <v>0</v>
      </c>
    </row>
    <row r="356" spans="1:16" ht="15.75" customHeight="1">
      <c r="A356" s="448" t="s">
        <v>155</v>
      </c>
      <c r="B356" s="457"/>
      <c r="C356" s="450" t="s">
        <v>409</v>
      </c>
      <c r="D356" s="451">
        <f>D359</f>
        <v>1308000</v>
      </c>
      <c r="E356" s="451">
        <f>E359</f>
        <v>1138000</v>
      </c>
      <c r="F356" s="451">
        <f>F359</f>
        <v>0</v>
      </c>
      <c r="G356" s="451">
        <f>G359</f>
        <v>0</v>
      </c>
      <c r="H356" s="451">
        <f>H359+H360</f>
        <v>983467</v>
      </c>
      <c r="I356" s="451">
        <f>I359+I360</f>
        <v>0</v>
      </c>
      <c r="J356" s="451">
        <f>J359+J360</f>
        <v>0</v>
      </c>
      <c r="K356" s="451">
        <f>K357+K358+K359+K360</f>
        <v>962472</v>
      </c>
      <c r="L356" s="451">
        <f>L357+L358+L359+L360</f>
        <v>962472</v>
      </c>
      <c r="M356" s="451">
        <f>M357+M358+M359+M360</f>
        <v>0</v>
      </c>
      <c r="N356" s="451">
        <f>N357+N358+N359+N360</f>
        <v>939783</v>
      </c>
      <c r="O356" s="451">
        <f>O357+O358+O359+O360</f>
        <v>22689</v>
      </c>
      <c r="P356" s="452">
        <f t="shared" si="48"/>
        <v>1</v>
      </c>
    </row>
    <row r="357" spans="1:16" ht="15.75" customHeight="1">
      <c r="A357" s="123"/>
      <c r="B357" s="140" t="s">
        <v>230</v>
      </c>
      <c r="C357" s="74" t="s">
        <v>410</v>
      </c>
      <c r="D357" s="138"/>
      <c r="E357" s="138"/>
      <c r="F357" s="138"/>
      <c r="G357" s="138"/>
      <c r="H357" s="138"/>
      <c r="I357" s="138"/>
      <c r="J357" s="138"/>
      <c r="K357" s="131">
        <v>11958</v>
      </c>
      <c r="L357" s="131">
        <v>11958</v>
      </c>
      <c r="M357" s="131">
        <v>0</v>
      </c>
      <c r="N357" s="131">
        <v>0</v>
      </c>
      <c r="O357" s="131">
        <f>L357</f>
        <v>11958</v>
      </c>
      <c r="P357" s="127">
        <f t="shared" si="48"/>
        <v>1</v>
      </c>
    </row>
    <row r="358" spans="1:16" ht="15.75" customHeight="1">
      <c r="A358" s="123"/>
      <c r="B358" s="140" t="s">
        <v>166</v>
      </c>
      <c r="C358" s="74" t="s">
        <v>387</v>
      </c>
      <c r="D358" s="138"/>
      <c r="E358" s="138"/>
      <c r="F358" s="138"/>
      <c r="G358" s="138"/>
      <c r="H358" s="138"/>
      <c r="I358" s="138"/>
      <c r="J358" s="138"/>
      <c r="K358" s="131">
        <v>10731</v>
      </c>
      <c r="L358" s="131">
        <v>10731</v>
      </c>
      <c r="M358" s="131">
        <v>0</v>
      </c>
      <c r="N358" s="131">
        <v>0</v>
      </c>
      <c r="O358" s="131">
        <f>L358</f>
        <v>10731</v>
      </c>
      <c r="P358" s="127">
        <f t="shared" si="48"/>
        <v>1</v>
      </c>
    </row>
    <row r="359" spans="1:16" ht="13.5" customHeight="1">
      <c r="A359" s="123"/>
      <c r="B359" s="140" t="s">
        <v>401</v>
      </c>
      <c r="C359" s="74" t="s">
        <v>402</v>
      </c>
      <c r="D359" s="131">
        <v>1308000</v>
      </c>
      <c r="E359" s="131">
        <v>1138000</v>
      </c>
      <c r="F359" s="131">
        <v>0</v>
      </c>
      <c r="G359" s="131">
        <v>0</v>
      </c>
      <c r="H359" s="131">
        <v>967257</v>
      </c>
      <c r="I359" s="131">
        <v>0</v>
      </c>
      <c r="J359" s="131">
        <v>0</v>
      </c>
      <c r="K359" s="131">
        <v>926005</v>
      </c>
      <c r="L359" s="131">
        <v>926005</v>
      </c>
      <c r="M359" s="131">
        <v>0</v>
      </c>
      <c r="N359" s="132">
        <f>L359</f>
        <v>926005</v>
      </c>
      <c r="O359" s="132">
        <v>0</v>
      </c>
      <c r="P359" s="127">
        <f t="shared" si="48"/>
        <v>1</v>
      </c>
    </row>
    <row r="360" spans="1:16" ht="14.25" customHeight="1">
      <c r="A360" s="123"/>
      <c r="B360" s="140" t="s">
        <v>225</v>
      </c>
      <c r="C360" s="74" t="s">
        <v>249</v>
      </c>
      <c r="D360" s="131"/>
      <c r="E360" s="131"/>
      <c r="F360" s="131"/>
      <c r="G360" s="131"/>
      <c r="H360" s="131">
        <v>16210</v>
      </c>
      <c r="I360" s="131">
        <v>0</v>
      </c>
      <c r="J360" s="131">
        <v>0</v>
      </c>
      <c r="K360" s="131">
        <v>13778</v>
      </c>
      <c r="L360" s="131">
        <v>13778</v>
      </c>
      <c r="M360" s="131">
        <v>0</v>
      </c>
      <c r="N360" s="132">
        <f>L360</f>
        <v>13778</v>
      </c>
      <c r="O360" s="132">
        <v>0</v>
      </c>
      <c r="P360" s="127">
        <f t="shared" si="48"/>
        <v>1</v>
      </c>
    </row>
    <row r="361" spans="1:16" ht="21" customHeight="1">
      <c r="A361" s="448" t="s">
        <v>411</v>
      </c>
      <c r="B361" s="457"/>
      <c r="C361" s="450" t="s">
        <v>412</v>
      </c>
      <c r="D361" s="451">
        <f aca="true" t="shared" si="49" ref="D361:O361">D362</f>
        <v>102900</v>
      </c>
      <c r="E361" s="451">
        <f t="shared" si="49"/>
        <v>120250</v>
      </c>
      <c r="F361" s="451">
        <f t="shared" si="49"/>
        <v>0</v>
      </c>
      <c r="G361" s="451">
        <f t="shared" si="49"/>
        <v>0</v>
      </c>
      <c r="H361" s="451">
        <f t="shared" si="49"/>
        <v>12952</v>
      </c>
      <c r="I361" s="451">
        <f t="shared" si="49"/>
        <v>0</v>
      </c>
      <c r="J361" s="451">
        <f t="shared" si="49"/>
        <v>0</v>
      </c>
      <c r="K361" s="451">
        <f t="shared" si="49"/>
        <v>9381</v>
      </c>
      <c r="L361" s="451">
        <f t="shared" si="49"/>
        <v>9381</v>
      </c>
      <c r="M361" s="451">
        <f t="shared" si="49"/>
        <v>9381</v>
      </c>
      <c r="N361" s="454">
        <f t="shared" si="49"/>
        <v>0</v>
      </c>
      <c r="O361" s="454">
        <f t="shared" si="49"/>
        <v>0</v>
      </c>
      <c r="P361" s="452">
        <f t="shared" si="48"/>
        <v>1</v>
      </c>
    </row>
    <row r="362" spans="1:16" ht="14.25" customHeight="1">
      <c r="A362" s="134"/>
      <c r="B362" s="140" t="s">
        <v>401</v>
      </c>
      <c r="C362" s="131" t="s">
        <v>402</v>
      </c>
      <c r="D362" s="131">
        <v>102900</v>
      </c>
      <c r="E362" s="131">
        <v>120250</v>
      </c>
      <c r="F362" s="131">
        <v>0</v>
      </c>
      <c r="G362" s="131">
        <v>0</v>
      </c>
      <c r="H362" s="131">
        <v>12952</v>
      </c>
      <c r="I362" s="131">
        <v>0</v>
      </c>
      <c r="J362" s="131">
        <v>0</v>
      </c>
      <c r="K362" s="131">
        <v>9381</v>
      </c>
      <c r="L362" s="131">
        <v>9381</v>
      </c>
      <c r="M362" s="131">
        <f>L362</f>
        <v>9381</v>
      </c>
      <c r="N362" s="132">
        <v>0</v>
      </c>
      <c r="O362" s="132">
        <v>0</v>
      </c>
      <c r="P362" s="127">
        <f t="shared" si="48"/>
        <v>1</v>
      </c>
    </row>
    <row r="363" spans="1:16" ht="22.5" customHeight="1">
      <c r="A363" s="448" t="s">
        <v>157</v>
      </c>
      <c r="B363" s="457"/>
      <c r="C363" s="450" t="s">
        <v>413</v>
      </c>
      <c r="D363" s="451">
        <f>D364+D365+D366+D368</f>
        <v>134584</v>
      </c>
      <c r="E363" s="451">
        <f>E364+E365+E366+E367+E368+E369+E370+E372+E374+E375</f>
        <v>185500</v>
      </c>
      <c r="F363" s="451">
        <f>F364+F365+F366+F367+F368+F369+F370+F372+F374+F375</f>
        <v>5714</v>
      </c>
      <c r="G363" s="451">
        <f>G364+G365+G366+G367+G368+G369+G370+G372+G374+G375</f>
        <v>2671</v>
      </c>
      <c r="H363" s="451">
        <f>H364+H365+H366+H367+H369+H370+H372+H374+H375</f>
        <v>132083</v>
      </c>
      <c r="I363" s="451">
        <f>I364+I365+I366+I367+I369+I370+I372+I374+I375</f>
        <v>3097</v>
      </c>
      <c r="J363" s="451">
        <f>J364+J365+J366+J367+J369+J370+J372+J374+J375</f>
        <v>3097</v>
      </c>
      <c r="K363" s="451">
        <f>K364+K365+K366+K367+K368+K369+K370+K371+K372+K373+K374+K375+K376</f>
        <v>195880</v>
      </c>
      <c r="L363" s="451">
        <f>L364+L365+L366+L367+L368+L369+L370+L371+L372+L373+L374+L375+L376</f>
        <v>195880</v>
      </c>
      <c r="M363" s="451">
        <f>M364+M365+M366+M367+M368+M369+M370+M371+M372+M373+M374+M375+M376</f>
        <v>0</v>
      </c>
      <c r="N363" s="451">
        <f>N364+N365+N366+N367+N368+N369+N370+N371+N372+N373+N374+N375+N376</f>
        <v>195880</v>
      </c>
      <c r="O363" s="451">
        <f>O364+O365+O366+O367+O368+O369+O370+O371+O372+O373+O374+O375+O376</f>
        <v>0</v>
      </c>
      <c r="P363" s="452">
        <f t="shared" si="48"/>
        <v>1</v>
      </c>
    </row>
    <row r="364" spans="1:16" ht="15" customHeight="1">
      <c r="A364" s="134"/>
      <c r="B364" s="140" t="s">
        <v>238</v>
      </c>
      <c r="C364" s="74" t="s">
        <v>277</v>
      </c>
      <c r="D364" s="131">
        <v>85744</v>
      </c>
      <c r="E364" s="131">
        <v>121480</v>
      </c>
      <c r="F364" s="131">
        <v>0</v>
      </c>
      <c r="G364" s="131">
        <v>2671</v>
      </c>
      <c r="H364" s="131">
        <v>72999</v>
      </c>
      <c r="I364" s="131">
        <v>0</v>
      </c>
      <c r="J364" s="131">
        <v>630</v>
      </c>
      <c r="K364" s="131">
        <v>109529</v>
      </c>
      <c r="L364" s="131">
        <v>109529</v>
      </c>
      <c r="M364" s="131">
        <v>0</v>
      </c>
      <c r="N364" s="132">
        <f aca="true" t="shared" si="50" ref="N364:N376">L364-M364</f>
        <v>109529</v>
      </c>
      <c r="O364" s="132">
        <v>0</v>
      </c>
      <c r="P364" s="127">
        <f t="shared" si="48"/>
        <v>1</v>
      </c>
    </row>
    <row r="365" spans="1:16" ht="15" customHeight="1">
      <c r="A365" s="134"/>
      <c r="B365" s="140" t="s">
        <v>240</v>
      </c>
      <c r="C365" s="74" t="s">
        <v>241</v>
      </c>
      <c r="D365" s="131">
        <v>4800</v>
      </c>
      <c r="E365" s="131">
        <v>6578</v>
      </c>
      <c r="F365" s="131">
        <v>0</v>
      </c>
      <c r="G365" s="131">
        <v>0</v>
      </c>
      <c r="H365" s="131">
        <v>5710</v>
      </c>
      <c r="I365" s="131">
        <v>0</v>
      </c>
      <c r="J365" s="131">
        <v>0</v>
      </c>
      <c r="K365" s="131">
        <v>8155</v>
      </c>
      <c r="L365" s="131">
        <v>8155</v>
      </c>
      <c r="M365" s="131">
        <v>0</v>
      </c>
      <c r="N365" s="132">
        <f t="shared" si="50"/>
        <v>8155</v>
      </c>
      <c r="O365" s="132">
        <v>0</v>
      </c>
      <c r="P365" s="127">
        <f t="shared" si="48"/>
        <v>1</v>
      </c>
    </row>
    <row r="366" spans="1:16" ht="15" customHeight="1">
      <c r="A366" s="134"/>
      <c r="B366" s="135" t="s">
        <v>280</v>
      </c>
      <c r="C366" s="74" t="s">
        <v>243</v>
      </c>
      <c r="D366" s="131">
        <v>18394</v>
      </c>
      <c r="E366" s="131">
        <v>22179</v>
      </c>
      <c r="F366" s="131">
        <v>0</v>
      </c>
      <c r="G366" s="131">
        <v>0</v>
      </c>
      <c r="H366" s="131">
        <v>14515</v>
      </c>
      <c r="I366" s="131">
        <v>0</v>
      </c>
      <c r="J366" s="131">
        <v>612</v>
      </c>
      <c r="K366" s="131">
        <v>20305</v>
      </c>
      <c r="L366" s="131">
        <v>20305</v>
      </c>
      <c r="M366" s="131">
        <v>0</v>
      </c>
      <c r="N366" s="132">
        <f t="shared" si="50"/>
        <v>20305</v>
      </c>
      <c r="O366" s="132">
        <v>0</v>
      </c>
      <c r="P366" s="127">
        <f t="shared" si="48"/>
        <v>1</v>
      </c>
    </row>
    <row r="367" spans="1:16" ht="14.25" customHeight="1">
      <c r="A367" s="134"/>
      <c r="B367" s="135" t="s">
        <v>244</v>
      </c>
      <c r="C367" s="74" t="s">
        <v>245</v>
      </c>
      <c r="D367" s="131"/>
      <c r="E367" s="131">
        <v>3039</v>
      </c>
      <c r="F367" s="131">
        <v>0</v>
      </c>
      <c r="G367" s="131">
        <v>0</v>
      </c>
      <c r="H367" s="131">
        <v>1927</v>
      </c>
      <c r="I367" s="131">
        <v>340</v>
      </c>
      <c r="J367" s="131">
        <v>0</v>
      </c>
      <c r="K367" s="131">
        <v>4032</v>
      </c>
      <c r="L367" s="131">
        <v>4032</v>
      </c>
      <c r="M367" s="131">
        <v>0</v>
      </c>
      <c r="N367" s="132">
        <f t="shared" si="50"/>
        <v>4032</v>
      </c>
      <c r="O367" s="132">
        <v>0</v>
      </c>
      <c r="P367" s="127">
        <f t="shared" si="48"/>
        <v>1</v>
      </c>
    </row>
    <row r="368" spans="1:16" ht="15" customHeight="1">
      <c r="A368" s="134"/>
      <c r="B368" s="140" t="s">
        <v>665</v>
      </c>
      <c r="C368" s="131" t="s">
        <v>666</v>
      </c>
      <c r="D368" s="131">
        <v>25646</v>
      </c>
      <c r="E368" s="131">
        <v>840</v>
      </c>
      <c r="F368" s="131">
        <v>0</v>
      </c>
      <c r="G368" s="131">
        <v>0</v>
      </c>
      <c r="H368" s="131"/>
      <c r="I368" s="131">
        <v>0</v>
      </c>
      <c r="J368" s="131">
        <v>0</v>
      </c>
      <c r="K368" s="131">
        <v>1000</v>
      </c>
      <c r="L368" s="131">
        <v>1000</v>
      </c>
      <c r="M368" s="131">
        <v>0</v>
      </c>
      <c r="N368" s="132">
        <f t="shared" si="50"/>
        <v>1000</v>
      </c>
      <c r="O368" s="132">
        <v>0</v>
      </c>
      <c r="P368" s="127">
        <f t="shared" si="48"/>
        <v>1</v>
      </c>
    </row>
    <row r="369" spans="1:16" ht="15.75" customHeight="1">
      <c r="A369" s="134"/>
      <c r="B369" s="140" t="s">
        <v>225</v>
      </c>
      <c r="C369" s="131" t="s">
        <v>362</v>
      </c>
      <c r="D369" s="131"/>
      <c r="E369" s="131">
        <v>5070</v>
      </c>
      <c r="F369" s="131">
        <v>500</v>
      </c>
      <c r="G369" s="131">
        <v>0</v>
      </c>
      <c r="H369" s="131">
        <v>7461</v>
      </c>
      <c r="I369" s="131">
        <v>2458</v>
      </c>
      <c r="J369" s="131">
        <v>0</v>
      </c>
      <c r="K369" s="131">
        <v>21490</v>
      </c>
      <c r="L369" s="131">
        <v>21490</v>
      </c>
      <c r="M369" s="131">
        <v>0</v>
      </c>
      <c r="N369" s="132">
        <f t="shared" si="50"/>
        <v>21490</v>
      </c>
      <c r="O369" s="132">
        <v>0</v>
      </c>
      <c r="P369" s="127">
        <f t="shared" si="48"/>
        <v>1</v>
      </c>
    </row>
    <row r="370" spans="1:16" ht="15.75" customHeight="1">
      <c r="A370" s="134"/>
      <c r="B370" s="140" t="s">
        <v>250</v>
      </c>
      <c r="C370" s="131" t="s">
        <v>266</v>
      </c>
      <c r="D370" s="131"/>
      <c r="E370" s="131">
        <v>3015</v>
      </c>
      <c r="F370" s="131">
        <v>500</v>
      </c>
      <c r="G370" s="131">
        <v>0</v>
      </c>
      <c r="H370" s="131">
        <v>6000</v>
      </c>
      <c r="I370" s="131">
        <v>299</v>
      </c>
      <c r="J370" s="131">
        <v>0</v>
      </c>
      <c r="K370" s="131">
        <v>5367</v>
      </c>
      <c r="L370" s="131">
        <v>5367</v>
      </c>
      <c r="M370" s="131">
        <v>0</v>
      </c>
      <c r="N370" s="132">
        <f t="shared" si="50"/>
        <v>5367</v>
      </c>
      <c r="O370" s="132">
        <v>0</v>
      </c>
      <c r="P370" s="127">
        <f t="shared" si="48"/>
        <v>1</v>
      </c>
    </row>
    <row r="371" spans="1:16" ht="15.75" customHeight="1">
      <c r="A371" s="134"/>
      <c r="B371" s="140" t="s">
        <v>252</v>
      </c>
      <c r="C371" s="131" t="s">
        <v>324</v>
      </c>
      <c r="D371" s="131"/>
      <c r="E371" s="131"/>
      <c r="F371" s="131"/>
      <c r="G371" s="131"/>
      <c r="H371" s="131"/>
      <c r="I371" s="131"/>
      <c r="J371" s="131"/>
      <c r="K371" s="131">
        <v>5816</v>
      </c>
      <c r="L371" s="131">
        <v>5816</v>
      </c>
      <c r="M371" s="131">
        <v>0</v>
      </c>
      <c r="N371" s="132">
        <f t="shared" si="50"/>
        <v>5816</v>
      </c>
      <c r="O371" s="132">
        <v>0</v>
      </c>
      <c r="P371" s="127">
        <f t="shared" si="48"/>
        <v>1</v>
      </c>
    </row>
    <row r="372" spans="1:16" ht="15.75" customHeight="1">
      <c r="A372" s="134"/>
      <c r="B372" s="140" t="s">
        <v>228</v>
      </c>
      <c r="C372" s="131" t="s">
        <v>290</v>
      </c>
      <c r="D372" s="131"/>
      <c r="E372" s="131">
        <v>19008</v>
      </c>
      <c r="F372" s="131">
        <v>2043</v>
      </c>
      <c r="G372" s="131">
        <v>0</v>
      </c>
      <c r="H372" s="131">
        <v>19291</v>
      </c>
      <c r="I372" s="131">
        <v>0</v>
      </c>
      <c r="J372" s="131">
        <v>1660</v>
      </c>
      <c r="K372" s="131">
        <v>11291</v>
      </c>
      <c r="L372" s="131">
        <v>11291</v>
      </c>
      <c r="M372" s="131">
        <v>0</v>
      </c>
      <c r="N372" s="132">
        <f t="shared" si="50"/>
        <v>11291</v>
      </c>
      <c r="O372" s="132">
        <v>0</v>
      </c>
      <c r="P372" s="127">
        <f t="shared" si="48"/>
        <v>1</v>
      </c>
    </row>
    <row r="373" spans="1:16" ht="15.75" customHeight="1">
      <c r="A373" s="134"/>
      <c r="B373" s="140" t="s">
        <v>667</v>
      </c>
      <c r="C373" s="131" t="s">
        <v>687</v>
      </c>
      <c r="D373" s="131"/>
      <c r="E373" s="131"/>
      <c r="F373" s="131"/>
      <c r="G373" s="131"/>
      <c r="H373" s="131"/>
      <c r="I373" s="131"/>
      <c r="J373" s="131"/>
      <c r="K373" s="131">
        <v>720</v>
      </c>
      <c r="L373" s="131">
        <v>720</v>
      </c>
      <c r="M373" s="131">
        <v>0</v>
      </c>
      <c r="N373" s="132">
        <f t="shared" si="50"/>
        <v>720</v>
      </c>
      <c r="O373" s="132">
        <v>0</v>
      </c>
      <c r="P373" s="127">
        <f t="shared" si="48"/>
        <v>1</v>
      </c>
    </row>
    <row r="374" spans="1:16" ht="15" customHeight="1">
      <c r="A374" s="134"/>
      <c r="B374" s="140" t="s">
        <v>254</v>
      </c>
      <c r="C374" s="131" t="s">
        <v>255</v>
      </c>
      <c r="D374" s="131"/>
      <c r="E374" s="131">
        <v>2618</v>
      </c>
      <c r="F374" s="131">
        <v>0</v>
      </c>
      <c r="G374" s="131">
        <v>0</v>
      </c>
      <c r="H374" s="131">
        <v>1000</v>
      </c>
      <c r="I374" s="131">
        <v>0</v>
      </c>
      <c r="J374" s="131">
        <v>195</v>
      </c>
      <c r="K374" s="131">
        <v>791</v>
      </c>
      <c r="L374" s="131">
        <v>791</v>
      </c>
      <c r="M374" s="131">
        <v>0</v>
      </c>
      <c r="N374" s="132">
        <f t="shared" si="50"/>
        <v>791</v>
      </c>
      <c r="O374" s="132">
        <v>0</v>
      </c>
      <c r="P374" s="127">
        <f t="shared" si="48"/>
        <v>1</v>
      </c>
    </row>
    <row r="375" spans="1:16" ht="14.25" customHeight="1">
      <c r="A375" s="134"/>
      <c r="B375" s="140" t="s">
        <v>221</v>
      </c>
      <c r="C375" s="131" t="s">
        <v>222</v>
      </c>
      <c r="D375" s="131"/>
      <c r="E375" s="131">
        <v>1673</v>
      </c>
      <c r="F375" s="131">
        <v>2671</v>
      </c>
      <c r="G375" s="131">
        <v>0</v>
      </c>
      <c r="H375" s="131">
        <v>3180</v>
      </c>
      <c r="I375" s="131">
        <v>0</v>
      </c>
      <c r="J375" s="131">
        <v>0</v>
      </c>
      <c r="K375" s="131">
        <v>7332</v>
      </c>
      <c r="L375" s="131">
        <v>7332</v>
      </c>
      <c r="M375" s="131">
        <v>0</v>
      </c>
      <c r="N375" s="132">
        <f t="shared" si="50"/>
        <v>7332</v>
      </c>
      <c r="O375" s="132">
        <v>0</v>
      </c>
      <c r="P375" s="127">
        <f t="shared" si="48"/>
        <v>1</v>
      </c>
    </row>
    <row r="376" spans="1:16" ht="21.75" customHeight="1">
      <c r="A376" s="134"/>
      <c r="B376" s="140" t="s">
        <v>374</v>
      </c>
      <c r="C376" s="74" t="s">
        <v>686</v>
      </c>
      <c r="D376" s="131"/>
      <c r="E376" s="131"/>
      <c r="F376" s="131"/>
      <c r="G376" s="131"/>
      <c r="H376" s="131"/>
      <c r="I376" s="131"/>
      <c r="J376" s="131"/>
      <c r="K376" s="131">
        <v>52</v>
      </c>
      <c r="L376" s="131">
        <v>52</v>
      </c>
      <c r="M376" s="131">
        <v>0</v>
      </c>
      <c r="N376" s="132">
        <f t="shared" si="50"/>
        <v>52</v>
      </c>
      <c r="O376" s="132">
        <v>0</v>
      </c>
      <c r="P376" s="127">
        <f t="shared" si="48"/>
        <v>1</v>
      </c>
    </row>
    <row r="377" spans="1:16" ht="47.25" customHeight="1">
      <c r="A377" s="448" t="s">
        <v>647</v>
      </c>
      <c r="B377" s="457"/>
      <c r="C377" s="450" t="s">
        <v>649</v>
      </c>
      <c r="D377" s="456"/>
      <c r="E377" s="456"/>
      <c r="F377" s="456"/>
      <c r="G377" s="456"/>
      <c r="H377" s="456"/>
      <c r="I377" s="456"/>
      <c r="J377" s="456"/>
      <c r="K377" s="451">
        <f>K378+K379</f>
        <v>54070</v>
      </c>
      <c r="L377" s="451">
        <f>L378+L379</f>
        <v>54070</v>
      </c>
      <c r="M377" s="451">
        <f>M378+M379</f>
        <v>0</v>
      </c>
      <c r="N377" s="451">
        <f>N378+N379</f>
        <v>54070</v>
      </c>
      <c r="O377" s="451">
        <f>O378+O379</f>
        <v>0</v>
      </c>
      <c r="P377" s="458">
        <f t="shared" si="48"/>
        <v>1</v>
      </c>
    </row>
    <row r="378" spans="1:16" ht="21.75" customHeight="1">
      <c r="A378" s="134"/>
      <c r="B378" s="140" t="s">
        <v>225</v>
      </c>
      <c r="C378" s="74" t="s">
        <v>226</v>
      </c>
      <c r="D378" s="131"/>
      <c r="E378" s="131"/>
      <c r="F378" s="131"/>
      <c r="G378" s="131"/>
      <c r="H378" s="131"/>
      <c r="I378" s="131"/>
      <c r="J378" s="131"/>
      <c r="K378" s="131">
        <v>34371</v>
      </c>
      <c r="L378" s="131">
        <v>34371</v>
      </c>
      <c r="M378" s="131">
        <v>0</v>
      </c>
      <c r="N378" s="132">
        <f>L378</f>
        <v>34371</v>
      </c>
      <c r="O378" s="132">
        <v>0</v>
      </c>
      <c r="P378" s="127">
        <f t="shared" si="48"/>
        <v>1</v>
      </c>
    </row>
    <row r="379" spans="1:16" ht="21.75" customHeight="1">
      <c r="A379" s="134"/>
      <c r="B379" s="140" t="s">
        <v>252</v>
      </c>
      <c r="C379" s="131" t="s">
        <v>324</v>
      </c>
      <c r="D379" s="131"/>
      <c r="E379" s="131"/>
      <c r="F379" s="131"/>
      <c r="G379" s="131"/>
      <c r="H379" s="131"/>
      <c r="I379" s="131"/>
      <c r="J379" s="131"/>
      <c r="K379" s="131">
        <v>19699</v>
      </c>
      <c r="L379" s="131">
        <v>19699</v>
      </c>
      <c r="M379" s="131">
        <v>0</v>
      </c>
      <c r="N379" s="132">
        <f>L379</f>
        <v>19699</v>
      </c>
      <c r="O379" s="132">
        <v>0</v>
      </c>
      <c r="P379" s="127">
        <f t="shared" si="48"/>
        <v>1</v>
      </c>
    </row>
    <row r="380" spans="1:16" ht="16.5" customHeight="1">
      <c r="A380" s="448" t="s">
        <v>414</v>
      </c>
      <c r="B380" s="453"/>
      <c r="C380" s="450" t="s">
        <v>415</v>
      </c>
      <c r="D380" s="451" t="e">
        <f>D381+D383+#REF!</f>
        <v>#REF!</v>
      </c>
      <c r="E380" s="451" t="e">
        <f>E381+E383+E384+#REF!</f>
        <v>#REF!</v>
      </c>
      <c r="F380" s="451" t="e">
        <f>F381+F383+F384+#REF!</f>
        <v>#REF!</v>
      </c>
      <c r="G380" s="451" t="e">
        <f>G381+G383+G384+#REF!</f>
        <v>#REF!</v>
      </c>
      <c r="H380" s="451">
        <f>H381+H382+H383+H384+H389</f>
        <v>42070</v>
      </c>
      <c r="I380" s="451">
        <f>I381+I382+I383+I384+I389</f>
        <v>0</v>
      </c>
      <c r="J380" s="451">
        <f>J381+J382+J383+J384+J389</f>
        <v>0</v>
      </c>
      <c r="K380" s="451">
        <f>K381+K382+K383+K384+K385+K386+K387+K388+K389</f>
        <v>48193</v>
      </c>
      <c r="L380" s="451">
        <f>L381+L382+L383+L384+L385+L386+L387+L388+L389</f>
        <v>48193</v>
      </c>
      <c r="M380" s="451">
        <f>M381+M382+M383+M384+M385+M386+M387+M388+M389</f>
        <v>0</v>
      </c>
      <c r="N380" s="451">
        <f>N381+N382+N383+N384+N385+N386+N387+N388+N389</f>
        <v>48193</v>
      </c>
      <c r="O380" s="451">
        <f>O381+O382+O383+O384+O385+O386+O387+O388+O389</f>
        <v>0</v>
      </c>
      <c r="P380" s="452">
        <f t="shared" si="48"/>
        <v>1</v>
      </c>
    </row>
    <row r="381" spans="1:16" ht="15" customHeight="1">
      <c r="A381" s="134"/>
      <c r="B381" s="134" t="s">
        <v>238</v>
      </c>
      <c r="C381" s="74" t="s">
        <v>277</v>
      </c>
      <c r="D381" s="131">
        <v>16515</v>
      </c>
      <c r="E381" s="131">
        <v>15028</v>
      </c>
      <c r="F381" s="131">
        <v>0</v>
      </c>
      <c r="G381" s="131">
        <v>0</v>
      </c>
      <c r="H381" s="131">
        <v>9550</v>
      </c>
      <c r="I381" s="131">
        <v>0</v>
      </c>
      <c r="J381" s="131">
        <v>0</v>
      </c>
      <c r="K381" s="131">
        <v>30709</v>
      </c>
      <c r="L381" s="131">
        <v>30709</v>
      </c>
      <c r="M381" s="131">
        <v>0</v>
      </c>
      <c r="N381" s="132">
        <f aca="true" t="shared" si="51" ref="N381:N389">L381</f>
        <v>30709</v>
      </c>
      <c r="O381" s="132">
        <v>0</v>
      </c>
      <c r="P381" s="127">
        <f t="shared" si="48"/>
        <v>1</v>
      </c>
    </row>
    <row r="382" spans="1:16" ht="15.75" customHeight="1">
      <c r="A382" s="134"/>
      <c r="B382" s="134" t="s">
        <v>240</v>
      </c>
      <c r="C382" s="74" t="s">
        <v>241</v>
      </c>
      <c r="D382" s="131"/>
      <c r="E382" s="131"/>
      <c r="F382" s="131"/>
      <c r="G382" s="131"/>
      <c r="H382" s="131">
        <v>765</v>
      </c>
      <c r="I382" s="131">
        <v>0</v>
      </c>
      <c r="J382" s="131">
        <v>0</v>
      </c>
      <c r="K382" s="131">
        <v>3079</v>
      </c>
      <c r="L382" s="131">
        <v>3079</v>
      </c>
      <c r="M382" s="131">
        <v>0</v>
      </c>
      <c r="N382" s="132">
        <f t="shared" si="51"/>
        <v>3079</v>
      </c>
      <c r="O382" s="132">
        <v>0</v>
      </c>
      <c r="P382" s="127">
        <f aca="true" t="shared" si="52" ref="P382:P414">L382/K382</f>
        <v>1</v>
      </c>
    </row>
    <row r="383" spans="1:16" ht="15.75" customHeight="1">
      <c r="A383" s="134"/>
      <c r="B383" s="142" t="s">
        <v>242</v>
      </c>
      <c r="C383" s="74" t="s">
        <v>416</v>
      </c>
      <c r="D383" s="131">
        <v>3358</v>
      </c>
      <c r="E383" s="131">
        <v>2709</v>
      </c>
      <c r="F383" s="131">
        <v>0</v>
      </c>
      <c r="G383" s="131">
        <v>0</v>
      </c>
      <c r="H383" s="131">
        <v>1777</v>
      </c>
      <c r="I383" s="131">
        <v>0</v>
      </c>
      <c r="J383" s="131">
        <v>0</v>
      </c>
      <c r="K383" s="131">
        <v>6146</v>
      </c>
      <c r="L383" s="131">
        <v>6146</v>
      </c>
      <c r="M383" s="131">
        <v>0</v>
      </c>
      <c r="N383" s="132">
        <f t="shared" si="51"/>
        <v>6146</v>
      </c>
      <c r="O383" s="132">
        <v>0</v>
      </c>
      <c r="P383" s="127">
        <f t="shared" si="52"/>
        <v>1</v>
      </c>
    </row>
    <row r="384" spans="1:16" ht="15.75" customHeight="1">
      <c r="A384" s="134"/>
      <c r="B384" s="142" t="s">
        <v>244</v>
      </c>
      <c r="C384" s="74" t="s">
        <v>245</v>
      </c>
      <c r="D384" s="131"/>
      <c r="E384" s="131">
        <v>371</v>
      </c>
      <c r="F384" s="131">
        <v>0</v>
      </c>
      <c r="G384" s="131">
        <v>0</v>
      </c>
      <c r="H384" s="131">
        <v>253</v>
      </c>
      <c r="I384" s="131">
        <v>0</v>
      </c>
      <c r="J384" s="131">
        <v>0</v>
      </c>
      <c r="K384" s="131">
        <v>839</v>
      </c>
      <c r="L384" s="131">
        <v>839</v>
      </c>
      <c r="M384" s="131">
        <v>0</v>
      </c>
      <c r="N384" s="132">
        <f t="shared" si="51"/>
        <v>839</v>
      </c>
      <c r="O384" s="132">
        <v>0</v>
      </c>
      <c r="P384" s="127">
        <f t="shared" si="52"/>
        <v>1</v>
      </c>
    </row>
    <row r="385" spans="1:16" ht="15.75" customHeight="1">
      <c r="A385" s="134"/>
      <c r="B385" s="134" t="s">
        <v>225</v>
      </c>
      <c r="C385" s="74" t="s">
        <v>226</v>
      </c>
      <c r="D385" s="131"/>
      <c r="E385" s="131"/>
      <c r="F385" s="131"/>
      <c r="G385" s="131"/>
      <c r="H385" s="138"/>
      <c r="I385" s="138"/>
      <c r="J385" s="138"/>
      <c r="K385" s="131">
        <v>245</v>
      </c>
      <c r="L385" s="131">
        <v>245</v>
      </c>
      <c r="M385" s="131">
        <v>0</v>
      </c>
      <c r="N385" s="132">
        <f t="shared" si="51"/>
        <v>245</v>
      </c>
      <c r="O385" s="132">
        <v>0</v>
      </c>
      <c r="P385" s="127">
        <f t="shared" si="52"/>
        <v>1</v>
      </c>
    </row>
    <row r="386" spans="1:16" ht="15.75" customHeight="1">
      <c r="A386" s="134"/>
      <c r="B386" s="134" t="s">
        <v>250</v>
      </c>
      <c r="C386" s="74" t="s">
        <v>266</v>
      </c>
      <c r="D386" s="131"/>
      <c r="E386" s="131"/>
      <c r="F386" s="131"/>
      <c r="G386" s="131"/>
      <c r="H386" s="138"/>
      <c r="I386" s="138"/>
      <c r="J386" s="138"/>
      <c r="K386" s="131">
        <v>2748</v>
      </c>
      <c r="L386" s="131">
        <v>2748</v>
      </c>
      <c r="M386" s="131">
        <v>0</v>
      </c>
      <c r="N386" s="132">
        <f t="shared" si="51"/>
        <v>2748</v>
      </c>
      <c r="O386" s="132">
        <v>0</v>
      </c>
      <c r="P386" s="127">
        <f t="shared" si="52"/>
        <v>1</v>
      </c>
    </row>
    <row r="387" spans="1:16" ht="14.25" customHeight="1">
      <c r="A387" s="134"/>
      <c r="B387" s="134" t="s">
        <v>228</v>
      </c>
      <c r="C387" s="74" t="s">
        <v>290</v>
      </c>
      <c r="D387" s="131"/>
      <c r="E387" s="131"/>
      <c r="F387" s="131"/>
      <c r="G387" s="131"/>
      <c r="H387" s="138"/>
      <c r="I387" s="138"/>
      <c r="J387" s="138"/>
      <c r="K387" s="131">
        <v>2210</v>
      </c>
      <c r="L387" s="131">
        <v>2210</v>
      </c>
      <c r="M387" s="131">
        <v>0</v>
      </c>
      <c r="N387" s="132">
        <f t="shared" si="51"/>
        <v>2210</v>
      </c>
      <c r="O387" s="132">
        <v>0</v>
      </c>
      <c r="P387" s="127">
        <f t="shared" si="52"/>
        <v>1</v>
      </c>
    </row>
    <row r="388" spans="1:16" ht="15.75" customHeight="1">
      <c r="A388" s="134"/>
      <c r="B388" s="134" t="s">
        <v>254</v>
      </c>
      <c r="C388" s="74" t="s">
        <v>255</v>
      </c>
      <c r="D388" s="131"/>
      <c r="E388" s="131"/>
      <c r="F388" s="131"/>
      <c r="G388" s="131"/>
      <c r="H388" s="138"/>
      <c r="I388" s="138"/>
      <c r="J388" s="138"/>
      <c r="K388" s="131">
        <v>1117</v>
      </c>
      <c r="L388" s="131">
        <v>1117</v>
      </c>
      <c r="M388" s="131">
        <v>0</v>
      </c>
      <c r="N388" s="132">
        <f t="shared" si="51"/>
        <v>1117</v>
      </c>
      <c r="O388" s="132">
        <v>0</v>
      </c>
      <c r="P388" s="127">
        <f t="shared" si="52"/>
        <v>1</v>
      </c>
    </row>
    <row r="389" spans="1:16" ht="15.75" customHeight="1">
      <c r="A389" s="134"/>
      <c r="B389" s="134" t="s">
        <v>221</v>
      </c>
      <c r="C389" s="74" t="s">
        <v>222</v>
      </c>
      <c r="D389" s="131"/>
      <c r="E389" s="131"/>
      <c r="F389" s="131"/>
      <c r="G389" s="131"/>
      <c r="H389" s="131">
        <v>29725</v>
      </c>
      <c r="I389" s="131">
        <v>0</v>
      </c>
      <c r="J389" s="131">
        <v>0</v>
      </c>
      <c r="K389" s="131">
        <v>1100</v>
      </c>
      <c r="L389" s="131">
        <v>1100</v>
      </c>
      <c r="M389" s="131">
        <v>0</v>
      </c>
      <c r="N389" s="132">
        <f t="shared" si="51"/>
        <v>1100</v>
      </c>
      <c r="O389" s="132">
        <v>0</v>
      </c>
      <c r="P389" s="127">
        <f t="shared" si="52"/>
        <v>1</v>
      </c>
    </row>
    <row r="390" spans="1:16" ht="24.75" customHeight="1">
      <c r="A390" s="448" t="s">
        <v>688</v>
      </c>
      <c r="B390" s="453"/>
      <c r="C390" s="450" t="s">
        <v>689</v>
      </c>
      <c r="D390" s="456"/>
      <c r="E390" s="456"/>
      <c r="F390" s="456"/>
      <c r="G390" s="456"/>
      <c r="H390" s="456"/>
      <c r="I390" s="456"/>
      <c r="J390" s="456"/>
      <c r="K390" s="451">
        <f>K391+K392</f>
        <v>2400</v>
      </c>
      <c r="L390" s="451">
        <f>L391+L392</f>
        <v>2400</v>
      </c>
      <c r="M390" s="451">
        <f>M391+M392</f>
        <v>0</v>
      </c>
      <c r="N390" s="451">
        <f>N391+N392</f>
        <v>2400</v>
      </c>
      <c r="O390" s="451">
        <f>O391+O392</f>
        <v>0</v>
      </c>
      <c r="P390" s="452">
        <f t="shared" si="52"/>
        <v>1</v>
      </c>
    </row>
    <row r="391" spans="1:16" ht="15.75" customHeight="1">
      <c r="A391" s="134"/>
      <c r="B391" s="134" t="s">
        <v>365</v>
      </c>
      <c r="C391" s="74" t="s">
        <v>388</v>
      </c>
      <c r="D391" s="131"/>
      <c r="E391" s="131"/>
      <c r="F391" s="131"/>
      <c r="G391" s="131"/>
      <c r="H391" s="131"/>
      <c r="I391" s="131"/>
      <c r="J391" s="131"/>
      <c r="K391" s="131">
        <v>1000</v>
      </c>
      <c r="L391" s="131">
        <v>1000</v>
      </c>
      <c r="M391" s="131">
        <v>0</v>
      </c>
      <c r="N391" s="132">
        <f>L391</f>
        <v>1000</v>
      </c>
      <c r="O391" s="132">
        <v>0</v>
      </c>
      <c r="P391" s="127">
        <f t="shared" si="52"/>
        <v>1</v>
      </c>
    </row>
    <row r="392" spans="1:16" ht="15.75" customHeight="1">
      <c r="A392" s="134"/>
      <c r="B392" s="134" t="s">
        <v>228</v>
      </c>
      <c r="C392" s="74" t="s">
        <v>290</v>
      </c>
      <c r="D392" s="131"/>
      <c r="E392" s="131"/>
      <c r="F392" s="131"/>
      <c r="G392" s="131"/>
      <c r="H392" s="131"/>
      <c r="I392" s="131"/>
      <c r="J392" s="131"/>
      <c r="K392" s="131">
        <v>1400</v>
      </c>
      <c r="L392" s="131">
        <v>1400</v>
      </c>
      <c r="M392" s="131">
        <v>0</v>
      </c>
      <c r="N392" s="132">
        <f>L392</f>
        <v>1400</v>
      </c>
      <c r="O392" s="132">
        <v>0</v>
      </c>
      <c r="P392" s="127">
        <f t="shared" si="52"/>
        <v>1</v>
      </c>
    </row>
    <row r="393" spans="1:16" ht="15.75" customHeight="1">
      <c r="A393" s="448" t="s">
        <v>417</v>
      </c>
      <c r="B393" s="448"/>
      <c r="C393" s="450" t="s">
        <v>33</v>
      </c>
      <c r="D393" s="451"/>
      <c r="E393" s="451"/>
      <c r="F393" s="451"/>
      <c r="G393" s="451"/>
      <c r="H393" s="451"/>
      <c r="I393" s="451"/>
      <c r="J393" s="451"/>
      <c r="K393" s="451">
        <f>K394+K395+K396</f>
        <v>49969</v>
      </c>
      <c r="L393" s="451">
        <f>L394+L395+L396</f>
        <v>49969</v>
      </c>
      <c r="M393" s="451">
        <f>M394+M395+M396</f>
        <v>0</v>
      </c>
      <c r="N393" s="451">
        <f>N394+N395+N396</f>
        <v>49969</v>
      </c>
      <c r="O393" s="451">
        <f>O394+O395+O396</f>
        <v>0</v>
      </c>
      <c r="P393" s="452">
        <f t="shared" si="52"/>
        <v>1</v>
      </c>
    </row>
    <row r="394" spans="1:16" ht="15.75" customHeight="1">
      <c r="A394" s="134"/>
      <c r="B394" s="134" t="s">
        <v>225</v>
      </c>
      <c r="C394" s="74" t="s">
        <v>355</v>
      </c>
      <c r="D394" s="131"/>
      <c r="E394" s="131"/>
      <c r="F394" s="131"/>
      <c r="G394" s="131"/>
      <c r="H394" s="131"/>
      <c r="I394" s="131"/>
      <c r="J394" s="131"/>
      <c r="K394" s="131">
        <v>27546</v>
      </c>
      <c r="L394" s="131">
        <v>27546</v>
      </c>
      <c r="M394" s="131">
        <v>0</v>
      </c>
      <c r="N394" s="132">
        <f>L394</f>
        <v>27546</v>
      </c>
      <c r="O394" s="132">
        <v>0</v>
      </c>
      <c r="P394" s="127">
        <f t="shared" si="52"/>
        <v>1</v>
      </c>
    </row>
    <row r="395" spans="1:16" ht="15.75" customHeight="1">
      <c r="A395" s="134"/>
      <c r="B395" s="134" t="s">
        <v>252</v>
      </c>
      <c r="C395" s="74" t="s">
        <v>324</v>
      </c>
      <c r="D395" s="131"/>
      <c r="E395" s="131"/>
      <c r="F395" s="131"/>
      <c r="G395" s="131"/>
      <c r="H395" s="131"/>
      <c r="I395" s="131"/>
      <c r="J395" s="131"/>
      <c r="K395" s="131">
        <v>16954</v>
      </c>
      <c r="L395" s="131">
        <v>16954</v>
      </c>
      <c r="M395" s="131">
        <v>0</v>
      </c>
      <c r="N395" s="132">
        <f>L395</f>
        <v>16954</v>
      </c>
      <c r="O395" s="132">
        <v>0</v>
      </c>
      <c r="P395" s="127">
        <f t="shared" si="52"/>
        <v>1</v>
      </c>
    </row>
    <row r="396" spans="1:16" ht="15.75" customHeight="1">
      <c r="A396" s="134"/>
      <c r="B396" s="134" t="s">
        <v>221</v>
      </c>
      <c r="C396" s="74" t="s">
        <v>222</v>
      </c>
      <c r="D396" s="131"/>
      <c r="E396" s="131"/>
      <c r="F396" s="131"/>
      <c r="G396" s="131"/>
      <c r="H396" s="131"/>
      <c r="I396" s="131"/>
      <c r="J396" s="131"/>
      <c r="K396" s="131">
        <v>5469</v>
      </c>
      <c r="L396" s="131">
        <v>5469</v>
      </c>
      <c r="M396" s="131">
        <v>0</v>
      </c>
      <c r="N396" s="132">
        <f>L396</f>
        <v>5469</v>
      </c>
      <c r="O396" s="132">
        <v>0</v>
      </c>
      <c r="P396" s="127">
        <f t="shared" si="52"/>
        <v>1</v>
      </c>
    </row>
    <row r="397" spans="1:16" ht="23.25" customHeight="1">
      <c r="A397" s="437" t="s">
        <v>159</v>
      </c>
      <c r="B397" s="437"/>
      <c r="C397" s="436" t="s">
        <v>168</v>
      </c>
      <c r="D397" s="433"/>
      <c r="E397" s="433"/>
      <c r="F397" s="433"/>
      <c r="G397" s="433"/>
      <c r="H397" s="433"/>
      <c r="I397" s="433"/>
      <c r="J397" s="433"/>
      <c r="K397" s="433">
        <f>K398+K408</f>
        <v>681515</v>
      </c>
      <c r="L397" s="433">
        <f>L398+L408</f>
        <v>681515</v>
      </c>
      <c r="M397" s="433">
        <f>M398+M408</f>
        <v>0</v>
      </c>
      <c r="N397" s="433">
        <f>N398+N408</f>
        <v>681515</v>
      </c>
      <c r="O397" s="433">
        <f>O398+O408</f>
        <v>0</v>
      </c>
      <c r="P397" s="430">
        <f t="shared" si="52"/>
        <v>1</v>
      </c>
    </row>
    <row r="398" spans="1:16" ht="21.75" customHeight="1">
      <c r="A398" s="448" t="s">
        <v>165</v>
      </c>
      <c r="B398" s="448"/>
      <c r="C398" s="450" t="s">
        <v>418</v>
      </c>
      <c r="D398" s="451"/>
      <c r="E398" s="451">
        <f>E399+E400+E401+E403+E404+E407+E405</f>
        <v>22000</v>
      </c>
      <c r="F398" s="451">
        <f>F399+F400+F401+F403+F404+F407+F405</f>
        <v>6928</v>
      </c>
      <c r="G398" s="451">
        <f>G399+G400+G401+G403+G404+G407+G405</f>
        <v>6928</v>
      </c>
      <c r="H398" s="451" t="e">
        <f>H399+H402+H403+H404+H405+H406+H407+#REF!</f>
        <v>#REF!</v>
      </c>
      <c r="I398" s="451" t="e">
        <f>I399+I402+I403+I404+I405+I406+I407+#REF!</f>
        <v>#REF!</v>
      </c>
      <c r="J398" s="451" t="e">
        <f>J399+J402+J403+J404+J405+J406+J407+#REF!</f>
        <v>#REF!</v>
      </c>
      <c r="K398" s="451">
        <f>K399+K402+K403+K404+K405+K406+K407</f>
        <v>19297</v>
      </c>
      <c r="L398" s="451">
        <f>L399+L402+L403+L404+L405+L406+L407</f>
        <v>19297</v>
      </c>
      <c r="M398" s="451">
        <f>M399+M402+M403+M404+M405+M406+M407</f>
        <v>0</v>
      </c>
      <c r="N398" s="451">
        <f>N399+N402+N403+N404+N405+N406+N407</f>
        <v>19297</v>
      </c>
      <c r="O398" s="451">
        <f>O399+O402+O403+O404+O405+O406+O407</f>
        <v>0</v>
      </c>
      <c r="P398" s="452">
        <f t="shared" si="52"/>
        <v>1</v>
      </c>
    </row>
    <row r="399" spans="1:16" ht="15" customHeight="1">
      <c r="A399" s="134"/>
      <c r="B399" s="134" t="s">
        <v>238</v>
      </c>
      <c r="C399" s="74" t="s">
        <v>277</v>
      </c>
      <c r="D399" s="131"/>
      <c r="E399" s="131">
        <v>14600</v>
      </c>
      <c r="F399" s="131">
        <v>0</v>
      </c>
      <c r="G399" s="131">
        <v>5468</v>
      </c>
      <c r="H399" s="131">
        <v>48240</v>
      </c>
      <c r="I399" s="131">
        <v>0</v>
      </c>
      <c r="J399" s="131">
        <v>5297</v>
      </c>
      <c r="K399" s="131">
        <v>13800</v>
      </c>
      <c r="L399" s="131">
        <v>13800</v>
      </c>
      <c r="M399" s="131">
        <v>0</v>
      </c>
      <c r="N399" s="132">
        <f>L399</f>
        <v>13800</v>
      </c>
      <c r="O399" s="132">
        <v>0</v>
      </c>
      <c r="P399" s="127">
        <f t="shared" si="52"/>
        <v>1</v>
      </c>
    </row>
    <row r="400" spans="1:16" ht="12" customHeight="1" hidden="1">
      <c r="A400" s="134"/>
      <c r="B400" s="134" t="s">
        <v>254</v>
      </c>
      <c r="C400" s="74" t="s">
        <v>255</v>
      </c>
      <c r="D400" s="131"/>
      <c r="E400" s="131">
        <v>400</v>
      </c>
      <c r="F400" s="131">
        <v>0</v>
      </c>
      <c r="G400" s="131">
        <v>200</v>
      </c>
      <c r="H400" s="131"/>
      <c r="I400" s="131"/>
      <c r="J400" s="131"/>
      <c r="K400" s="131">
        <f>H400+I400-J400</f>
        <v>0</v>
      </c>
      <c r="L400" s="131"/>
      <c r="M400" s="131"/>
      <c r="N400" s="132"/>
      <c r="O400" s="132"/>
      <c r="P400" s="127" t="e">
        <f t="shared" si="52"/>
        <v>#DIV/0!</v>
      </c>
    </row>
    <row r="401" spans="1:16" ht="15" customHeight="1" hidden="1">
      <c r="A401" s="134"/>
      <c r="B401" s="134" t="s">
        <v>225</v>
      </c>
      <c r="C401" s="74" t="s">
        <v>362</v>
      </c>
      <c r="D401" s="131"/>
      <c r="E401" s="131">
        <v>3517</v>
      </c>
      <c r="F401" s="131">
        <v>6628</v>
      </c>
      <c r="G401" s="131">
        <v>0</v>
      </c>
      <c r="H401" s="131"/>
      <c r="I401" s="131"/>
      <c r="J401" s="131"/>
      <c r="K401" s="131">
        <f>H401+I401-J401</f>
        <v>0</v>
      </c>
      <c r="L401" s="131"/>
      <c r="M401" s="131"/>
      <c r="N401" s="132"/>
      <c r="O401" s="132"/>
      <c r="P401" s="127" t="e">
        <f t="shared" si="52"/>
        <v>#DIV/0!</v>
      </c>
    </row>
    <row r="402" spans="1:16" ht="15.75" customHeight="1">
      <c r="A402" s="134"/>
      <c r="B402" s="134" t="s">
        <v>240</v>
      </c>
      <c r="C402" s="74" t="s">
        <v>241</v>
      </c>
      <c r="D402" s="131"/>
      <c r="E402" s="131"/>
      <c r="F402" s="131"/>
      <c r="G402" s="131"/>
      <c r="H402" s="131">
        <v>2344</v>
      </c>
      <c r="I402" s="131">
        <v>0</v>
      </c>
      <c r="J402" s="131">
        <v>0</v>
      </c>
      <c r="K402" s="131">
        <v>1122</v>
      </c>
      <c r="L402" s="131">
        <v>1122</v>
      </c>
      <c r="M402" s="131">
        <v>0</v>
      </c>
      <c r="N402" s="132">
        <f aca="true" t="shared" si="53" ref="N402:N407">L402</f>
        <v>1122</v>
      </c>
      <c r="O402" s="132">
        <v>0</v>
      </c>
      <c r="P402" s="127">
        <f t="shared" si="52"/>
        <v>1</v>
      </c>
    </row>
    <row r="403" spans="1:16" ht="16.5" customHeight="1">
      <c r="A403" s="134"/>
      <c r="B403" s="134" t="s">
        <v>242</v>
      </c>
      <c r="C403" s="74" t="s">
        <v>416</v>
      </c>
      <c r="D403" s="131"/>
      <c r="E403" s="131">
        <v>2610</v>
      </c>
      <c r="F403" s="131">
        <v>0</v>
      </c>
      <c r="G403" s="131">
        <v>977</v>
      </c>
      <c r="H403" s="131">
        <v>8606</v>
      </c>
      <c r="I403" s="131">
        <v>0</v>
      </c>
      <c r="J403" s="131">
        <v>363</v>
      </c>
      <c r="K403" s="131">
        <v>2570</v>
      </c>
      <c r="L403" s="131">
        <v>2570</v>
      </c>
      <c r="M403" s="131">
        <v>0</v>
      </c>
      <c r="N403" s="132">
        <f t="shared" si="53"/>
        <v>2570</v>
      </c>
      <c r="O403" s="132">
        <v>0</v>
      </c>
      <c r="P403" s="127">
        <f t="shared" si="52"/>
        <v>1</v>
      </c>
    </row>
    <row r="404" spans="1:16" ht="16.5" customHeight="1">
      <c r="A404" s="134"/>
      <c r="B404" s="134" t="s">
        <v>244</v>
      </c>
      <c r="C404" s="74" t="s">
        <v>419</v>
      </c>
      <c r="D404" s="131"/>
      <c r="E404" s="131">
        <v>358</v>
      </c>
      <c r="F404" s="131">
        <v>0</v>
      </c>
      <c r="G404" s="131">
        <v>134</v>
      </c>
      <c r="H404" s="131">
        <v>1470</v>
      </c>
      <c r="I404" s="131">
        <v>0</v>
      </c>
      <c r="J404" s="131">
        <v>291</v>
      </c>
      <c r="K404" s="131">
        <v>365</v>
      </c>
      <c r="L404" s="131">
        <v>365</v>
      </c>
      <c r="M404" s="131">
        <v>0</v>
      </c>
      <c r="N404" s="132">
        <f t="shared" si="53"/>
        <v>365</v>
      </c>
      <c r="O404" s="132">
        <v>0</v>
      </c>
      <c r="P404" s="127">
        <f t="shared" si="52"/>
        <v>1</v>
      </c>
    </row>
    <row r="405" spans="1:16" ht="17.25" customHeight="1">
      <c r="A405" s="134"/>
      <c r="B405" s="134" t="s">
        <v>228</v>
      </c>
      <c r="C405" s="74" t="s">
        <v>290</v>
      </c>
      <c r="D405" s="131"/>
      <c r="E405" s="131">
        <v>0</v>
      </c>
      <c r="F405" s="131">
        <v>300</v>
      </c>
      <c r="G405" s="131">
        <v>0</v>
      </c>
      <c r="H405" s="131">
        <v>5560</v>
      </c>
      <c r="I405" s="131">
        <v>0</v>
      </c>
      <c r="J405" s="131">
        <v>1809</v>
      </c>
      <c r="K405" s="131">
        <v>995</v>
      </c>
      <c r="L405" s="131">
        <v>995</v>
      </c>
      <c r="M405" s="131">
        <v>0</v>
      </c>
      <c r="N405" s="132">
        <f t="shared" si="53"/>
        <v>995</v>
      </c>
      <c r="O405" s="132">
        <v>0</v>
      </c>
      <c r="P405" s="127">
        <f t="shared" si="52"/>
        <v>1</v>
      </c>
    </row>
    <row r="406" spans="1:16" ht="17.25" customHeight="1">
      <c r="A406" s="134"/>
      <c r="B406" s="134" t="s">
        <v>219</v>
      </c>
      <c r="C406" s="74" t="s">
        <v>220</v>
      </c>
      <c r="D406" s="131"/>
      <c r="E406" s="131"/>
      <c r="F406" s="131"/>
      <c r="G406" s="131"/>
      <c r="H406" s="131">
        <v>1000</v>
      </c>
      <c r="I406" s="131">
        <v>15</v>
      </c>
      <c r="J406" s="131">
        <v>0</v>
      </c>
      <c r="K406" s="131">
        <v>0</v>
      </c>
      <c r="L406" s="131">
        <v>0</v>
      </c>
      <c r="M406" s="131">
        <v>0</v>
      </c>
      <c r="N406" s="132">
        <f t="shared" si="53"/>
        <v>0</v>
      </c>
      <c r="O406" s="132">
        <v>0</v>
      </c>
      <c r="P406" s="127">
        <v>0</v>
      </c>
    </row>
    <row r="407" spans="1:16" ht="16.5" customHeight="1">
      <c r="A407" s="134"/>
      <c r="B407" s="134" t="s">
        <v>221</v>
      </c>
      <c r="C407" s="74" t="s">
        <v>222</v>
      </c>
      <c r="D407" s="131"/>
      <c r="E407" s="131">
        <v>515</v>
      </c>
      <c r="F407" s="131">
        <v>0</v>
      </c>
      <c r="G407" s="131">
        <v>149</v>
      </c>
      <c r="H407" s="131">
        <v>1827</v>
      </c>
      <c r="I407" s="131">
        <v>0</v>
      </c>
      <c r="J407" s="131">
        <v>0</v>
      </c>
      <c r="K407" s="131">
        <v>445</v>
      </c>
      <c r="L407" s="131">
        <v>445</v>
      </c>
      <c r="M407" s="131">
        <v>0</v>
      </c>
      <c r="N407" s="132">
        <f t="shared" si="53"/>
        <v>445</v>
      </c>
      <c r="O407" s="132">
        <v>0</v>
      </c>
      <c r="P407" s="127">
        <f t="shared" si="52"/>
        <v>1</v>
      </c>
    </row>
    <row r="408" spans="1:16" ht="15.75" customHeight="1">
      <c r="A408" s="448" t="s">
        <v>170</v>
      </c>
      <c r="B408" s="453"/>
      <c r="C408" s="450" t="s">
        <v>169</v>
      </c>
      <c r="D408" s="451" t="e">
        <f>D410+D411+D412+#REF!</f>
        <v>#REF!</v>
      </c>
      <c r="E408" s="451" t="e">
        <f>E410+E411+E412+E413+#REF!+#REF!+E415+E416+#REF!+E417+E419+#REF!+#REF!</f>
        <v>#REF!</v>
      </c>
      <c r="F408" s="451" t="e">
        <f>F410+F411+F412+F413+#REF!+#REF!+F415+F416+#REF!+F417+F419+#REF!+#REF!</f>
        <v>#REF!</v>
      </c>
      <c r="G408" s="451" t="e">
        <f>G410+G411+G412+G413+#REF!+#REF!+G415+G416+#REF!+G417+G419+#REF!+#REF!</f>
        <v>#REF!</v>
      </c>
      <c r="H408" s="451" t="e">
        <f>H410+H411+H412+H413+H415+H416+H417+H419+#REF!+H420+#REF!</f>
        <v>#REF!</v>
      </c>
      <c r="I408" s="451" t="e">
        <f>I410+I411+I412+I413+I415+I416+I417+I419+#REF!+I420+#REF!</f>
        <v>#REF!</v>
      </c>
      <c r="J408" s="451" t="e">
        <f>J410+J411+J412+J413+J415+J416+J417+J419+#REF!+J420+#REF!</f>
        <v>#REF!</v>
      </c>
      <c r="K408" s="451">
        <f>K409+K410+K411+K412+K413+K414+K415+K416+K417+K418+K419+K420</f>
        <v>662218</v>
      </c>
      <c r="L408" s="451">
        <f>L409+L410+L411+L412+L413+L414+L415+L416+L417+L418+L419+L420</f>
        <v>662218</v>
      </c>
      <c r="M408" s="451">
        <f>M409+M410+M411+M412+M413+M414+M415+M416+M417+M418+M419+M420</f>
        <v>0</v>
      </c>
      <c r="N408" s="451">
        <f>N409+N410+N411+N412+N413+N414+N415+N416+N417+N418+N419+N420</f>
        <v>662218</v>
      </c>
      <c r="O408" s="451">
        <f>O409+O410+O411+O412+O413+O414+O415+O416+O417+O418+O419+O420</f>
        <v>0</v>
      </c>
      <c r="P408" s="452">
        <f t="shared" si="52"/>
        <v>1</v>
      </c>
    </row>
    <row r="409" spans="1:16" ht="23.25" customHeight="1">
      <c r="A409" s="123"/>
      <c r="B409" s="134" t="s">
        <v>215</v>
      </c>
      <c r="C409" s="74" t="s">
        <v>690</v>
      </c>
      <c r="D409" s="138"/>
      <c r="E409" s="138"/>
      <c r="F409" s="138"/>
      <c r="G409" s="138"/>
      <c r="H409" s="138"/>
      <c r="I409" s="138"/>
      <c r="J409" s="138"/>
      <c r="K409" s="131">
        <v>99</v>
      </c>
      <c r="L409" s="131">
        <v>99</v>
      </c>
      <c r="M409" s="131">
        <v>0</v>
      </c>
      <c r="N409" s="131">
        <f>L409</f>
        <v>99</v>
      </c>
      <c r="O409" s="131">
        <v>0</v>
      </c>
      <c r="P409" s="127">
        <f t="shared" si="52"/>
        <v>1</v>
      </c>
    </row>
    <row r="410" spans="1:16" ht="16.5" customHeight="1">
      <c r="A410" s="134"/>
      <c r="B410" s="134" t="s">
        <v>238</v>
      </c>
      <c r="C410" s="74" t="s">
        <v>420</v>
      </c>
      <c r="D410" s="131">
        <v>606420</v>
      </c>
      <c r="E410" s="131">
        <v>652585</v>
      </c>
      <c r="F410" s="131">
        <v>0</v>
      </c>
      <c r="G410" s="131">
        <v>0</v>
      </c>
      <c r="H410" s="131">
        <v>370235</v>
      </c>
      <c r="I410" s="131">
        <v>0</v>
      </c>
      <c r="J410" s="131">
        <v>0</v>
      </c>
      <c r="K410" s="131">
        <v>427975</v>
      </c>
      <c r="L410" s="131">
        <v>427975</v>
      </c>
      <c r="M410" s="131">
        <v>0</v>
      </c>
      <c r="N410" s="132">
        <f aca="true" t="shared" si="54" ref="N410:N420">L410-M410</f>
        <v>427975</v>
      </c>
      <c r="O410" s="132">
        <v>0</v>
      </c>
      <c r="P410" s="127">
        <f t="shared" si="52"/>
        <v>1</v>
      </c>
    </row>
    <row r="411" spans="1:16" ht="15" customHeight="1">
      <c r="A411" s="134"/>
      <c r="B411" s="134" t="s">
        <v>240</v>
      </c>
      <c r="C411" s="74" t="s">
        <v>241</v>
      </c>
      <c r="D411" s="131">
        <v>48267</v>
      </c>
      <c r="E411" s="131">
        <v>48566</v>
      </c>
      <c r="F411" s="131">
        <v>0</v>
      </c>
      <c r="G411" s="131">
        <v>0</v>
      </c>
      <c r="H411" s="131">
        <v>28767</v>
      </c>
      <c r="I411" s="131">
        <v>0</v>
      </c>
      <c r="J411" s="131">
        <v>0</v>
      </c>
      <c r="K411" s="131">
        <v>36166</v>
      </c>
      <c r="L411" s="131">
        <v>36166</v>
      </c>
      <c r="M411" s="131">
        <v>0</v>
      </c>
      <c r="N411" s="132">
        <f t="shared" si="54"/>
        <v>36166</v>
      </c>
      <c r="O411" s="132">
        <v>0</v>
      </c>
      <c r="P411" s="127">
        <f t="shared" si="52"/>
        <v>1</v>
      </c>
    </row>
    <row r="412" spans="1:16" ht="16.5" customHeight="1">
      <c r="A412" s="134"/>
      <c r="B412" s="142" t="s">
        <v>280</v>
      </c>
      <c r="C412" s="74" t="s">
        <v>288</v>
      </c>
      <c r="D412" s="131">
        <v>131863</v>
      </c>
      <c r="E412" s="131">
        <v>124716</v>
      </c>
      <c r="F412" s="131">
        <v>0</v>
      </c>
      <c r="G412" s="131">
        <v>0</v>
      </c>
      <c r="H412" s="131">
        <v>68092</v>
      </c>
      <c r="I412" s="131">
        <v>0</v>
      </c>
      <c r="J412" s="131">
        <v>379</v>
      </c>
      <c r="K412" s="131">
        <v>79849</v>
      </c>
      <c r="L412" s="131">
        <v>79849</v>
      </c>
      <c r="M412" s="131">
        <v>0</v>
      </c>
      <c r="N412" s="132">
        <f t="shared" si="54"/>
        <v>79849</v>
      </c>
      <c r="O412" s="132">
        <v>0</v>
      </c>
      <c r="P412" s="127">
        <f t="shared" si="52"/>
        <v>1</v>
      </c>
    </row>
    <row r="413" spans="1:16" ht="14.25" customHeight="1">
      <c r="A413" s="134"/>
      <c r="B413" s="142" t="s">
        <v>244</v>
      </c>
      <c r="C413" s="74" t="s">
        <v>245</v>
      </c>
      <c r="D413" s="131"/>
      <c r="E413" s="131">
        <v>16239</v>
      </c>
      <c r="F413" s="131">
        <v>0</v>
      </c>
      <c r="G413" s="131">
        <v>0</v>
      </c>
      <c r="H413" s="131">
        <v>11100</v>
      </c>
      <c r="I413" s="131">
        <v>412</v>
      </c>
      <c r="J413" s="131">
        <v>0</v>
      </c>
      <c r="K413" s="131">
        <v>14027</v>
      </c>
      <c r="L413" s="131">
        <v>14027</v>
      </c>
      <c r="M413" s="131">
        <v>0</v>
      </c>
      <c r="N413" s="132">
        <f t="shared" si="54"/>
        <v>14027</v>
      </c>
      <c r="O413" s="132">
        <v>0</v>
      </c>
      <c r="P413" s="127">
        <f t="shared" si="52"/>
        <v>1</v>
      </c>
    </row>
    <row r="414" spans="1:16" ht="18.75" customHeight="1">
      <c r="A414" s="134"/>
      <c r="B414" s="134" t="s">
        <v>665</v>
      </c>
      <c r="C414" s="74" t="s">
        <v>666</v>
      </c>
      <c r="D414" s="131"/>
      <c r="E414" s="131"/>
      <c r="F414" s="131"/>
      <c r="G414" s="131"/>
      <c r="H414" s="138"/>
      <c r="I414" s="138"/>
      <c r="J414" s="138"/>
      <c r="K414" s="131">
        <v>6400</v>
      </c>
      <c r="L414" s="131">
        <v>6400</v>
      </c>
      <c r="M414" s="131">
        <v>0</v>
      </c>
      <c r="N414" s="132">
        <f t="shared" si="54"/>
        <v>6400</v>
      </c>
      <c r="O414" s="132">
        <v>0</v>
      </c>
      <c r="P414" s="127">
        <f t="shared" si="52"/>
        <v>1</v>
      </c>
    </row>
    <row r="415" spans="1:16" ht="15" customHeight="1">
      <c r="A415" s="134"/>
      <c r="B415" s="134" t="s">
        <v>225</v>
      </c>
      <c r="C415" s="74" t="s">
        <v>362</v>
      </c>
      <c r="D415" s="131"/>
      <c r="E415" s="131">
        <v>20202</v>
      </c>
      <c r="F415" s="131">
        <v>0</v>
      </c>
      <c r="G415" s="131">
        <v>0</v>
      </c>
      <c r="H415" s="131">
        <v>25567</v>
      </c>
      <c r="I415" s="131">
        <v>2758</v>
      </c>
      <c r="J415" s="131">
        <v>0</v>
      </c>
      <c r="K415" s="131">
        <v>15363</v>
      </c>
      <c r="L415" s="131">
        <v>15363</v>
      </c>
      <c r="M415" s="131">
        <v>0</v>
      </c>
      <c r="N415" s="132">
        <f t="shared" si="54"/>
        <v>15363</v>
      </c>
      <c r="O415" s="132">
        <v>0</v>
      </c>
      <c r="P415" s="127">
        <f aca="true" t="shared" si="55" ref="P415:P438">L415/K415</f>
        <v>1</v>
      </c>
    </row>
    <row r="416" spans="1:16" ht="15" customHeight="1">
      <c r="A416" s="134"/>
      <c r="B416" s="134" t="s">
        <v>250</v>
      </c>
      <c r="C416" s="74" t="s">
        <v>266</v>
      </c>
      <c r="D416" s="131"/>
      <c r="E416" s="131">
        <v>31800</v>
      </c>
      <c r="F416" s="131">
        <v>0</v>
      </c>
      <c r="G416" s="131">
        <v>0</v>
      </c>
      <c r="H416" s="131">
        <v>34876</v>
      </c>
      <c r="I416" s="131">
        <v>0</v>
      </c>
      <c r="J416" s="131">
        <v>6350</v>
      </c>
      <c r="K416" s="131">
        <v>29887</v>
      </c>
      <c r="L416" s="131">
        <v>29887</v>
      </c>
      <c r="M416" s="131">
        <v>0</v>
      </c>
      <c r="N416" s="132">
        <f t="shared" si="54"/>
        <v>29887</v>
      </c>
      <c r="O416" s="132">
        <v>0</v>
      </c>
      <c r="P416" s="127">
        <f t="shared" si="55"/>
        <v>1</v>
      </c>
    </row>
    <row r="417" spans="1:16" ht="13.5" customHeight="1">
      <c r="A417" s="134"/>
      <c r="B417" s="134" t="s">
        <v>228</v>
      </c>
      <c r="C417" s="74" t="s">
        <v>290</v>
      </c>
      <c r="D417" s="131"/>
      <c r="E417" s="131">
        <v>17850</v>
      </c>
      <c r="F417" s="131">
        <v>0</v>
      </c>
      <c r="G417" s="131">
        <v>0</v>
      </c>
      <c r="H417" s="131">
        <v>33475</v>
      </c>
      <c r="I417" s="131">
        <v>5094</v>
      </c>
      <c r="J417" s="131">
        <v>0</v>
      </c>
      <c r="K417" s="131">
        <v>21586</v>
      </c>
      <c r="L417" s="131">
        <v>21586</v>
      </c>
      <c r="M417" s="131">
        <v>0</v>
      </c>
      <c r="N417" s="132">
        <f t="shared" si="54"/>
        <v>21586</v>
      </c>
      <c r="O417" s="132">
        <v>0</v>
      </c>
      <c r="P417" s="127">
        <f t="shared" si="55"/>
        <v>1</v>
      </c>
    </row>
    <row r="418" spans="1:16" ht="13.5" customHeight="1">
      <c r="A418" s="134"/>
      <c r="B418" s="134" t="s">
        <v>691</v>
      </c>
      <c r="C418" s="74" t="s">
        <v>290</v>
      </c>
      <c r="D418" s="131"/>
      <c r="E418" s="131"/>
      <c r="F418" s="131"/>
      <c r="G418" s="131"/>
      <c r="H418" s="131"/>
      <c r="I418" s="131"/>
      <c r="J418" s="131"/>
      <c r="K418" s="131">
        <v>14030</v>
      </c>
      <c r="L418" s="131">
        <v>14030</v>
      </c>
      <c r="M418" s="131">
        <v>0</v>
      </c>
      <c r="N418" s="132">
        <f t="shared" si="54"/>
        <v>14030</v>
      </c>
      <c r="O418" s="132">
        <v>0</v>
      </c>
      <c r="P418" s="127">
        <f t="shared" si="55"/>
        <v>1</v>
      </c>
    </row>
    <row r="419" spans="1:16" ht="14.25" customHeight="1">
      <c r="A419" s="134"/>
      <c r="B419" s="134" t="s">
        <v>254</v>
      </c>
      <c r="C419" s="74" t="s">
        <v>255</v>
      </c>
      <c r="D419" s="131"/>
      <c r="E419" s="131">
        <v>1400</v>
      </c>
      <c r="F419" s="131">
        <v>0</v>
      </c>
      <c r="G419" s="131">
        <v>0</v>
      </c>
      <c r="H419" s="131">
        <v>2000</v>
      </c>
      <c r="I419" s="131">
        <v>0</v>
      </c>
      <c r="J419" s="131">
        <v>62</v>
      </c>
      <c r="K419" s="131">
        <v>1243</v>
      </c>
      <c r="L419" s="131">
        <v>1243</v>
      </c>
      <c r="M419" s="131">
        <v>0</v>
      </c>
      <c r="N419" s="132">
        <f t="shared" si="54"/>
        <v>1243</v>
      </c>
      <c r="O419" s="132">
        <v>0</v>
      </c>
      <c r="P419" s="127">
        <f t="shared" si="55"/>
        <v>1</v>
      </c>
    </row>
    <row r="420" spans="1:16" ht="14.25" customHeight="1">
      <c r="A420" s="134"/>
      <c r="B420" s="134" t="s">
        <v>221</v>
      </c>
      <c r="C420" s="74" t="s">
        <v>222</v>
      </c>
      <c r="D420" s="131"/>
      <c r="E420" s="131"/>
      <c r="F420" s="131"/>
      <c r="G420" s="131"/>
      <c r="H420" s="131">
        <v>12853</v>
      </c>
      <c r="I420" s="131">
        <v>0</v>
      </c>
      <c r="J420" s="131">
        <v>0</v>
      </c>
      <c r="K420" s="131">
        <v>15593</v>
      </c>
      <c r="L420" s="131">
        <v>15593</v>
      </c>
      <c r="M420" s="131">
        <v>0</v>
      </c>
      <c r="N420" s="132">
        <f t="shared" si="54"/>
        <v>15593</v>
      </c>
      <c r="O420" s="132">
        <v>0</v>
      </c>
      <c r="P420" s="127">
        <f t="shared" si="55"/>
        <v>1</v>
      </c>
    </row>
    <row r="421" spans="1:22" s="94" customFormat="1" ht="24" customHeight="1">
      <c r="A421" s="437" t="s">
        <v>173</v>
      </c>
      <c r="B421" s="437"/>
      <c r="C421" s="436" t="s">
        <v>422</v>
      </c>
      <c r="D421" s="433" t="e">
        <f>D422+D436+D451+D466+D485</f>
        <v>#REF!</v>
      </c>
      <c r="E421" s="433" t="e">
        <f>E422+E436+E451+E466+E485+#REF!+E490</f>
        <v>#REF!</v>
      </c>
      <c r="F421" s="433" t="e">
        <f>F422+F436+F451+F485+#REF!+F490</f>
        <v>#REF!</v>
      </c>
      <c r="G421" s="433" t="e">
        <f>G422+G436+G451+G485+#REF!+G490</f>
        <v>#REF!</v>
      </c>
      <c r="H421" s="433" t="e">
        <f>H422+#REF!+H436+H451+H485+H490+H475</f>
        <v>#REF!</v>
      </c>
      <c r="I421" s="433" t="e">
        <f>I422+#REF!+I436+I451+I485+I490+I475</f>
        <v>#REF!</v>
      </c>
      <c r="J421" s="433" t="e">
        <f>J422+#REF!+J436+J451+J485+J490+J475</f>
        <v>#REF!</v>
      </c>
      <c r="K421" s="433">
        <f>K422+K436+K451+K485+K490+K475</f>
        <v>3259749</v>
      </c>
      <c r="L421" s="433">
        <f>L422+L436+L451+L485+L490+L475</f>
        <v>3256686</v>
      </c>
      <c r="M421" s="433">
        <f>M422+M436+M451+M485+M490+M475</f>
        <v>0</v>
      </c>
      <c r="N421" s="433">
        <f>N422+N436+N451+N485+N490+N475</f>
        <v>3255186</v>
      </c>
      <c r="O421" s="433">
        <f>O422+O436+O451+O485+O490+O475</f>
        <v>1500</v>
      </c>
      <c r="P421" s="430">
        <f t="shared" si="55"/>
        <v>0.9990603571011142</v>
      </c>
      <c r="Q421" s="143"/>
      <c r="R421" s="143"/>
      <c r="S421" s="143"/>
      <c r="T421" s="143"/>
      <c r="U421" s="143"/>
      <c r="V421" s="143"/>
    </row>
    <row r="422" spans="1:16" ht="23.25" customHeight="1">
      <c r="A422" s="448" t="s">
        <v>175</v>
      </c>
      <c r="B422" s="453"/>
      <c r="C422" s="450" t="s">
        <v>174</v>
      </c>
      <c r="D422" s="451">
        <f>D423+D424+D425+D435</f>
        <v>2045066</v>
      </c>
      <c r="E422" s="451" t="e">
        <f>E423+E424+E425+E426+#REF!+E427+E428+E429+E430+E431+E432+E433+E434+#REF!</f>
        <v>#REF!</v>
      </c>
      <c r="F422" s="451" t="e">
        <f>F423+F424+F425+F426+#REF!+F427+F428+F429+F430+F431+F432+F433+F434+#REF!</f>
        <v>#REF!</v>
      </c>
      <c r="G422" s="451" t="e">
        <f>G423+G424+G425+G426+#REF!+G427+G428+G429+G430+G431+G432+G433+G434+#REF!</f>
        <v>#REF!</v>
      </c>
      <c r="H422" s="451" t="e">
        <f>H423+H424+H425+H426+H427+H428+H429+H430+H431+H432+H433+H434+H435+#REF!</f>
        <v>#REF!</v>
      </c>
      <c r="I422" s="451" t="e">
        <f>I423+I424+I425+I426+I427+I428+I429+I430+I431+I432+I433+I434+I435+#REF!</f>
        <v>#REF!</v>
      </c>
      <c r="J422" s="451" t="e">
        <f>J423+J424+J425+J426+J427+J428+J429+J430+J431+J432+J433+J434+J435+#REF!</f>
        <v>#REF!</v>
      </c>
      <c r="K422" s="451">
        <f>K423+K424+K425+K426+K427+K428+K429+K430+K431+K432+K433+K434+K435</f>
        <v>1359801</v>
      </c>
      <c r="L422" s="451">
        <f>L423+L424+L425+L426+L427+L428+L429+L430+L431+L432+L433+L434+L435</f>
        <v>1357239</v>
      </c>
      <c r="M422" s="451">
        <f>M423+M424+M425+M426+M427+M428+M429+M430+M431+M432+M433+M434+M435</f>
        <v>0</v>
      </c>
      <c r="N422" s="451">
        <f>N423+N424+N425+N426+N427+N428+N429+N430+N431+N432+N433+N434+N435</f>
        <v>1357239</v>
      </c>
      <c r="O422" s="451">
        <f>O423+O424+O425+O426+O427+O428+O429+O430+O431+O432+O433+O434+O435</f>
        <v>0</v>
      </c>
      <c r="P422" s="452">
        <f t="shared" si="55"/>
        <v>0.998115900782541</v>
      </c>
    </row>
    <row r="423" spans="1:16" ht="16.5" customHeight="1">
      <c r="A423" s="134"/>
      <c r="B423" s="134" t="s">
        <v>238</v>
      </c>
      <c r="C423" s="74" t="s">
        <v>277</v>
      </c>
      <c r="D423" s="131">
        <v>1270889</v>
      </c>
      <c r="E423" s="131">
        <v>1044649</v>
      </c>
      <c r="F423" s="131">
        <v>19143</v>
      </c>
      <c r="G423" s="131">
        <v>45000</v>
      </c>
      <c r="H423" s="131">
        <v>565050</v>
      </c>
      <c r="I423" s="131">
        <v>0</v>
      </c>
      <c r="J423" s="131">
        <v>11545</v>
      </c>
      <c r="K423" s="131">
        <v>575685</v>
      </c>
      <c r="L423" s="131">
        <v>575685</v>
      </c>
      <c r="M423" s="131">
        <v>0</v>
      </c>
      <c r="N423" s="132">
        <f aca="true" t="shared" si="56" ref="N423:N434">L423</f>
        <v>575685</v>
      </c>
      <c r="O423" s="132">
        <v>0</v>
      </c>
      <c r="P423" s="127">
        <f t="shared" si="55"/>
        <v>1</v>
      </c>
    </row>
    <row r="424" spans="1:16" ht="16.5" customHeight="1">
      <c r="A424" s="134"/>
      <c r="B424" s="134" t="s">
        <v>240</v>
      </c>
      <c r="C424" s="74" t="s">
        <v>241</v>
      </c>
      <c r="D424" s="131">
        <v>95035</v>
      </c>
      <c r="E424" s="131">
        <v>92025</v>
      </c>
      <c r="F424" s="131">
        <v>0</v>
      </c>
      <c r="G424" s="131">
        <v>0</v>
      </c>
      <c r="H424" s="131">
        <v>46308</v>
      </c>
      <c r="I424" s="131">
        <v>0</v>
      </c>
      <c r="J424" s="131">
        <v>0</v>
      </c>
      <c r="K424" s="131">
        <v>45698</v>
      </c>
      <c r="L424" s="131">
        <v>45698</v>
      </c>
      <c r="M424" s="131">
        <v>0</v>
      </c>
      <c r="N424" s="132">
        <f t="shared" si="56"/>
        <v>45698</v>
      </c>
      <c r="O424" s="132">
        <v>0</v>
      </c>
      <c r="P424" s="127">
        <f t="shared" si="55"/>
        <v>1</v>
      </c>
    </row>
    <row r="425" spans="1:16" ht="16.5" customHeight="1">
      <c r="A425" s="134"/>
      <c r="B425" s="142" t="s">
        <v>242</v>
      </c>
      <c r="C425" s="74" t="s">
        <v>288</v>
      </c>
      <c r="D425" s="131">
        <v>274033</v>
      </c>
      <c r="E425" s="131">
        <v>199495</v>
      </c>
      <c r="F425" s="131">
        <v>2349</v>
      </c>
      <c r="G425" s="131">
        <v>8046</v>
      </c>
      <c r="H425" s="131">
        <v>107000</v>
      </c>
      <c r="I425" s="131">
        <v>0</v>
      </c>
      <c r="J425" s="131">
        <v>14151</v>
      </c>
      <c r="K425" s="131">
        <v>104155</v>
      </c>
      <c r="L425" s="131">
        <v>104155</v>
      </c>
      <c r="M425" s="131">
        <v>0</v>
      </c>
      <c r="N425" s="132">
        <f t="shared" si="56"/>
        <v>104155</v>
      </c>
      <c r="O425" s="132">
        <v>0</v>
      </c>
      <c r="P425" s="127">
        <f t="shared" si="55"/>
        <v>1</v>
      </c>
    </row>
    <row r="426" spans="1:16" ht="15.75" customHeight="1">
      <c r="A426" s="134"/>
      <c r="B426" s="142" t="s">
        <v>244</v>
      </c>
      <c r="C426" s="74" t="s">
        <v>245</v>
      </c>
      <c r="D426" s="131"/>
      <c r="E426" s="131">
        <v>27615</v>
      </c>
      <c r="F426" s="131">
        <v>321</v>
      </c>
      <c r="G426" s="131">
        <v>1102</v>
      </c>
      <c r="H426" s="131">
        <v>14660</v>
      </c>
      <c r="I426" s="131">
        <v>0</v>
      </c>
      <c r="J426" s="131">
        <v>1233</v>
      </c>
      <c r="K426" s="131">
        <v>15370</v>
      </c>
      <c r="L426" s="131">
        <v>15370</v>
      </c>
      <c r="M426" s="131">
        <v>0</v>
      </c>
      <c r="N426" s="132">
        <f t="shared" si="56"/>
        <v>15370</v>
      </c>
      <c r="O426" s="132">
        <v>0</v>
      </c>
      <c r="P426" s="127">
        <f t="shared" si="55"/>
        <v>1</v>
      </c>
    </row>
    <row r="427" spans="1:16" ht="16.5" customHeight="1">
      <c r="A427" s="134"/>
      <c r="B427" s="142" t="s">
        <v>225</v>
      </c>
      <c r="C427" s="74" t="s">
        <v>362</v>
      </c>
      <c r="D427" s="131"/>
      <c r="E427" s="131">
        <v>123652</v>
      </c>
      <c r="F427" s="131">
        <v>12612</v>
      </c>
      <c r="G427" s="131">
        <v>0</v>
      </c>
      <c r="H427" s="131">
        <v>139868</v>
      </c>
      <c r="I427" s="131">
        <v>0</v>
      </c>
      <c r="J427" s="131">
        <v>1899</v>
      </c>
      <c r="K427" s="131">
        <v>178780</v>
      </c>
      <c r="L427" s="131">
        <v>176218</v>
      </c>
      <c r="M427" s="131">
        <v>0</v>
      </c>
      <c r="N427" s="132">
        <f t="shared" si="56"/>
        <v>176218</v>
      </c>
      <c r="O427" s="132">
        <v>0</v>
      </c>
      <c r="P427" s="127">
        <f t="shared" si="55"/>
        <v>0.9856695379796397</v>
      </c>
    </row>
    <row r="428" spans="1:16" ht="15.75" customHeight="1">
      <c r="A428" s="134"/>
      <c r="B428" s="142" t="s">
        <v>320</v>
      </c>
      <c r="C428" s="74" t="s">
        <v>403</v>
      </c>
      <c r="D428" s="131"/>
      <c r="E428" s="131">
        <v>145078</v>
      </c>
      <c r="F428" s="131">
        <v>0</v>
      </c>
      <c r="G428" s="131">
        <v>20000</v>
      </c>
      <c r="H428" s="131">
        <v>57000</v>
      </c>
      <c r="I428" s="131">
        <v>0</v>
      </c>
      <c r="J428" s="131">
        <v>400</v>
      </c>
      <c r="K428" s="131">
        <v>62000</v>
      </c>
      <c r="L428" s="131">
        <v>62000</v>
      </c>
      <c r="M428" s="131">
        <v>0</v>
      </c>
      <c r="N428" s="132">
        <f t="shared" si="56"/>
        <v>62000</v>
      </c>
      <c r="O428" s="132">
        <v>0</v>
      </c>
      <c r="P428" s="127">
        <f t="shared" si="55"/>
        <v>1</v>
      </c>
    </row>
    <row r="429" spans="1:16" ht="15.75" customHeight="1">
      <c r="A429" s="134"/>
      <c r="B429" s="142" t="s">
        <v>250</v>
      </c>
      <c r="C429" s="74" t="s">
        <v>266</v>
      </c>
      <c r="D429" s="131"/>
      <c r="E429" s="131">
        <v>21328</v>
      </c>
      <c r="F429" s="131">
        <v>3000</v>
      </c>
      <c r="G429" s="131">
        <v>0</v>
      </c>
      <c r="H429" s="131">
        <v>17200</v>
      </c>
      <c r="I429" s="131">
        <v>0</v>
      </c>
      <c r="J429" s="131">
        <v>1000</v>
      </c>
      <c r="K429" s="131">
        <v>11400</v>
      </c>
      <c r="L429" s="131">
        <v>11400</v>
      </c>
      <c r="M429" s="131">
        <v>0</v>
      </c>
      <c r="N429" s="132">
        <f t="shared" si="56"/>
        <v>11400</v>
      </c>
      <c r="O429" s="132">
        <v>0</v>
      </c>
      <c r="P429" s="127">
        <f t="shared" si="55"/>
        <v>1</v>
      </c>
    </row>
    <row r="430" spans="1:16" ht="18.75" customHeight="1">
      <c r="A430" s="134"/>
      <c r="B430" s="142" t="s">
        <v>252</v>
      </c>
      <c r="C430" s="74" t="s">
        <v>253</v>
      </c>
      <c r="D430" s="131"/>
      <c r="E430" s="131">
        <v>1623</v>
      </c>
      <c r="F430" s="131">
        <v>0</v>
      </c>
      <c r="G430" s="131">
        <v>0</v>
      </c>
      <c r="H430" s="131">
        <v>0</v>
      </c>
      <c r="I430" s="131">
        <v>0</v>
      </c>
      <c r="J430" s="131">
        <v>0</v>
      </c>
      <c r="K430" s="131">
        <v>149633</v>
      </c>
      <c r="L430" s="131">
        <v>149633</v>
      </c>
      <c r="M430" s="131">
        <v>0</v>
      </c>
      <c r="N430" s="132">
        <f t="shared" si="56"/>
        <v>149633</v>
      </c>
      <c r="O430" s="132">
        <v>0</v>
      </c>
      <c r="P430" s="127">
        <f t="shared" si="55"/>
        <v>1</v>
      </c>
    </row>
    <row r="431" spans="1:16" ht="18" customHeight="1">
      <c r="A431" s="134"/>
      <c r="B431" s="142" t="s">
        <v>228</v>
      </c>
      <c r="C431" s="74" t="s">
        <v>290</v>
      </c>
      <c r="D431" s="131"/>
      <c r="E431" s="131">
        <v>22737</v>
      </c>
      <c r="F431" s="131">
        <v>4000</v>
      </c>
      <c r="G431" s="131">
        <v>0</v>
      </c>
      <c r="H431" s="131">
        <v>27250</v>
      </c>
      <c r="I431" s="131">
        <v>2561</v>
      </c>
      <c r="J431" s="131">
        <v>0</v>
      </c>
      <c r="K431" s="131">
        <v>53800</v>
      </c>
      <c r="L431" s="131">
        <v>53800</v>
      </c>
      <c r="M431" s="131">
        <v>0</v>
      </c>
      <c r="N431" s="132">
        <f t="shared" si="56"/>
        <v>53800</v>
      </c>
      <c r="O431" s="132">
        <v>0</v>
      </c>
      <c r="P431" s="127">
        <f t="shared" si="55"/>
        <v>1</v>
      </c>
    </row>
    <row r="432" spans="1:16" ht="18" customHeight="1">
      <c r="A432" s="134"/>
      <c r="B432" s="142" t="s">
        <v>254</v>
      </c>
      <c r="C432" s="74" t="s">
        <v>255</v>
      </c>
      <c r="D432" s="131"/>
      <c r="E432" s="131">
        <v>2384</v>
      </c>
      <c r="F432" s="131">
        <v>0</v>
      </c>
      <c r="G432" s="131">
        <v>800</v>
      </c>
      <c r="H432" s="131">
        <v>300</v>
      </c>
      <c r="I432" s="131">
        <v>135</v>
      </c>
      <c r="J432" s="131">
        <v>0</v>
      </c>
      <c r="K432" s="131">
        <v>1837</v>
      </c>
      <c r="L432" s="131">
        <v>1837</v>
      </c>
      <c r="M432" s="131">
        <v>0</v>
      </c>
      <c r="N432" s="132">
        <f t="shared" si="56"/>
        <v>1837</v>
      </c>
      <c r="O432" s="132">
        <v>0</v>
      </c>
      <c r="P432" s="127">
        <f t="shared" si="55"/>
        <v>1</v>
      </c>
    </row>
    <row r="433" spans="1:16" ht="17.25" customHeight="1">
      <c r="A433" s="134"/>
      <c r="B433" s="142" t="s">
        <v>219</v>
      </c>
      <c r="C433" s="74" t="s">
        <v>220</v>
      </c>
      <c r="D433" s="131"/>
      <c r="E433" s="131">
        <v>5336</v>
      </c>
      <c r="F433" s="131">
        <v>0</v>
      </c>
      <c r="G433" s="131">
        <v>1612</v>
      </c>
      <c r="H433" s="131">
        <v>0</v>
      </c>
      <c r="I433" s="131">
        <v>603</v>
      </c>
      <c r="J433" s="131">
        <v>0</v>
      </c>
      <c r="K433" s="131">
        <v>3999</v>
      </c>
      <c r="L433" s="131">
        <v>3999</v>
      </c>
      <c r="M433" s="131">
        <v>0</v>
      </c>
      <c r="N433" s="132">
        <f t="shared" si="56"/>
        <v>3999</v>
      </c>
      <c r="O433" s="132">
        <v>0</v>
      </c>
      <c r="P433" s="127">
        <f t="shared" si="55"/>
        <v>1</v>
      </c>
    </row>
    <row r="434" spans="1:16" ht="16.5" customHeight="1">
      <c r="A434" s="134"/>
      <c r="B434" s="142" t="s">
        <v>221</v>
      </c>
      <c r="C434" s="74" t="s">
        <v>222</v>
      </c>
      <c r="D434" s="131"/>
      <c r="E434" s="131">
        <v>79227</v>
      </c>
      <c r="F434" s="131">
        <v>0</v>
      </c>
      <c r="G434" s="131">
        <v>0</v>
      </c>
      <c r="H434" s="131">
        <v>31503</v>
      </c>
      <c r="I434" s="131">
        <v>0</v>
      </c>
      <c r="J434" s="131">
        <v>0</v>
      </c>
      <c r="K434" s="131">
        <v>33920</v>
      </c>
      <c r="L434" s="131">
        <v>33920</v>
      </c>
      <c r="M434" s="131">
        <v>0</v>
      </c>
      <c r="N434" s="132">
        <f t="shared" si="56"/>
        <v>33920</v>
      </c>
      <c r="O434" s="132">
        <v>0</v>
      </c>
      <c r="P434" s="127">
        <f t="shared" si="55"/>
        <v>1</v>
      </c>
    </row>
    <row r="435" spans="1:16" ht="19.5" customHeight="1">
      <c r="A435" s="134"/>
      <c r="B435" s="134" t="s">
        <v>260</v>
      </c>
      <c r="C435" s="74" t="s">
        <v>692</v>
      </c>
      <c r="D435" s="131">
        <v>405109</v>
      </c>
      <c r="E435" s="131"/>
      <c r="F435" s="131"/>
      <c r="G435" s="131"/>
      <c r="H435" s="131">
        <v>0</v>
      </c>
      <c r="I435" s="131">
        <v>0</v>
      </c>
      <c r="J435" s="131">
        <v>0</v>
      </c>
      <c r="K435" s="131">
        <v>123524</v>
      </c>
      <c r="L435" s="131">
        <v>123524</v>
      </c>
      <c r="M435" s="131">
        <v>0</v>
      </c>
      <c r="N435" s="132">
        <f>L435</f>
        <v>123524</v>
      </c>
      <c r="O435" s="132">
        <v>0</v>
      </c>
      <c r="P435" s="127">
        <f t="shared" si="55"/>
        <v>1</v>
      </c>
    </row>
    <row r="436" spans="1:16" ht="15.75" customHeight="1">
      <c r="A436" s="448" t="s">
        <v>178</v>
      </c>
      <c r="B436" s="453"/>
      <c r="C436" s="450" t="s">
        <v>424</v>
      </c>
      <c r="D436" s="451" t="e">
        <f>D438+D439+D440+#REF!</f>
        <v>#REF!</v>
      </c>
      <c r="E436" s="451" t="e">
        <f>E438+E439+E440+E441+#REF!+E443+E444+E445+#REF!+E446+E448+#REF!+E449</f>
        <v>#REF!</v>
      </c>
      <c r="F436" s="451" t="e">
        <f>F438+F439+F440+F441+#REF!+F443+F444+F445+#REF!+F446+F448+#REF!+F449</f>
        <v>#REF!</v>
      </c>
      <c r="G436" s="451" t="e">
        <f>G438+G439+G440+G441+#REF!+G443+G444+G445+#REF!+G446+G448+#REF!+G449</f>
        <v>#REF!</v>
      </c>
      <c r="H436" s="451" t="e">
        <f>H438+H439+H440+H441+#REF!+H443+H444+H445+H446+H448+#REF!+H449+H450</f>
        <v>#REF!</v>
      </c>
      <c r="I436" s="451" t="e">
        <f>I438+I439+I440+I441+#REF!+I443+I444+I445+I446+I448+#REF!+I449+I450</f>
        <v>#REF!</v>
      </c>
      <c r="J436" s="451" t="e">
        <f>J438+J439+J440+J441+#REF!+J443+J444+J445+J446+J448+#REF!+J449+J450</f>
        <v>#REF!</v>
      </c>
      <c r="K436" s="451">
        <f>K437+K438+K439+K440+K441+K442+K443+K444+K445+K446+K447+K448+K449+K450</f>
        <v>414543</v>
      </c>
      <c r="L436" s="451">
        <f>L437+L438+L439+L440+L441+L442+L443+L444+L445+L446+L447+L448+L449+L450</f>
        <v>414543</v>
      </c>
      <c r="M436" s="451">
        <f>M437+M438+M439+M440+M441+M442+M443+M444+M445+M446+M447+M448+M449+M450</f>
        <v>0</v>
      </c>
      <c r="N436" s="451">
        <f>N437+N438+N439+N440+N441+N442+N443+N444+N445+N446+N447+N448+N449+N450</f>
        <v>414543</v>
      </c>
      <c r="O436" s="451">
        <f>O437+O438+O439+O440+O441+O442+O443+O444+O445+O446+O447+O448+O449+O450</f>
        <v>0</v>
      </c>
      <c r="P436" s="452">
        <f t="shared" si="55"/>
        <v>1</v>
      </c>
    </row>
    <row r="437" spans="1:16" ht="16.5" customHeight="1">
      <c r="A437" s="123"/>
      <c r="B437" s="134" t="s">
        <v>215</v>
      </c>
      <c r="C437" s="74" t="s">
        <v>354</v>
      </c>
      <c r="D437" s="138"/>
      <c r="E437" s="138"/>
      <c r="F437" s="138"/>
      <c r="G437" s="138"/>
      <c r="H437" s="138"/>
      <c r="I437" s="138"/>
      <c r="J437" s="138"/>
      <c r="K437" s="131">
        <v>397</v>
      </c>
      <c r="L437" s="131">
        <v>397</v>
      </c>
      <c r="M437" s="131">
        <v>0</v>
      </c>
      <c r="N437" s="132">
        <f aca="true" t="shared" si="57" ref="N437:N450">L437</f>
        <v>397</v>
      </c>
      <c r="O437" s="132">
        <v>0</v>
      </c>
      <c r="P437" s="127">
        <f t="shared" si="55"/>
        <v>1</v>
      </c>
    </row>
    <row r="438" spans="1:16" ht="15.75" customHeight="1">
      <c r="A438" s="134"/>
      <c r="B438" s="134" t="s">
        <v>238</v>
      </c>
      <c r="C438" s="74" t="s">
        <v>277</v>
      </c>
      <c r="D438" s="131">
        <v>338872</v>
      </c>
      <c r="E438" s="131">
        <v>347249</v>
      </c>
      <c r="F438" s="131">
        <v>4011</v>
      </c>
      <c r="G438" s="131">
        <v>5633</v>
      </c>
      <c r="H438" s="131">
        <v>240145</v>
      </c>
      <c r="I438" s="131">
        <v>0</v>
      </c>
      <c r="J438" s="131">
        <v>0</v>
      </c>
      <c r="K438" s="131">
        <v>271569</v>
      </c>
      <c r="L438" s="131">
        <v>271569</v>
      </c>
      <c r="M438" s="131">
        <v>0</v>
      </c>
      <c r="N438" s="132">
        <f t="shared" si="57"/>
        <v>271569</v>
      </c>
      <c r="O438" s="132">
        <v>0</v>
      </c>
      <c r="P438" s="127">
        <f t="shared" si="55"/>
        <v>1</v>
      </c>
    </row>
    <row r="439" spans="1:16" ht="15.75" customHeight="1">
      <c r="A439" s="134"/>
      <c r="B439" s="134" t="s">
        <v>240</v>
      </c>
      <c r="C439" s="74" t="s">
        <v>241</v>
      </c>
      <c r="D439" s="131">
        <v>22404</v>
      </c>
      <c r="E439" s="131">
        <v>26837</v>
      </c>
      <c r="F439" s="131">
        <v>0</v>
      </c>
      <c r="G439" s="131">
        <v>0</v>
      </c>
      <c r="H439" s="131">
        <v>17713</v>
      </c>
      <c r="I439" s="131">
        <v>0</v>
      </c>
      <c r="J439" s="131">
        <v>0</v>
      </c>
      <c r="K439" s="131">
        <v>21533</v>
      </c>
      <c r="L439" s="131">
        <v>21533</v>
      </c>
      <c r="M439" s="131">
        <v>0</v>
      </c>
      <c r="N439" s="132">
        <f t="shared" si="57"/>
        <v>21533</v>
      </c>
      <c r="O439" s="132">
        <v>0</v>
      </c>
      <c r="P439" s="127">
        <f aca="true" t="shared" si="58" ref="P439:P472">L439/K439</f>
        <v>1</v>
      </c>
    </row>
    <row r="440" spans="1:16" ht="17.25" customHeight="1">
      <c r="A440" s="134"/>
      <c r="B440" s="142" t="s">
        <v>280</v>
      </c>
      <c r="C440" s="74" t="s">
        <v>288</v>
      </c>
      <c r="D440" s="131">
        <v>73812</v>
      </c>
      <c r="E440" s="131">
        <v>65930</v>
      </c>
      <c r="F440" s="131">
        <v>360</v>
      </c>
      <c r="G440" s="131">
        <v>1005</v>
      </c>
      <c r="H440" s="131">
        <v>45324</v>
      </c>
      <c r="I440" s="131">
        <v>142</v>
      </c>
      <c r="J440" s="131">
        <v>0</v>
      </c>
      <c r="K440" s="131">
        <v>50804</v>
      </c>
      <c r="L440" s="131">
        <v>50804</v>
      </c>
      <c r="M440" s="131">
        <v>0</v>
      </c>
      <c r="N440" s="132">
        <f t="shared" si="57"/>
        <v>50804</v>
      </c>
      <c r="O440" s="132">
        <v>0</v>
      </c>
      <c r="P440" s="127">
        <f t="shared" si="58"/>
        <v>1</v>
      </c>
    </row>
    <row r="441" spans="1:16" ht="14.25" customHeight="1">
      <c r="A441" s="134"/>
      <c r="B441" s="142" t="s">
        <v>244</v>
      </c>
      <c r="C441" s="74" t="s">
        <v>245</v>
      </c>
      <c r="D441" s="131"/>
      <c r="E441" s="131">
        <v>9068</v>
      </c>
      <c r="F441" s="131">
        <v>49</v>
      </c>
      <c r="G441" s="131">
        <v>138</v>
      </c>
      <c r="H441" s="131">
        <v>6263</v>
      </c>
      <c r="I441" s="131">
        <v>20</v>
      </c>
      <c r="J441" s="131">
        <v>0</v>
      </c>
      <c r="K441" s="131">
        <v>7074</v>
      </c>
      <c r="L441" s="131">
        <v>7074</v>
      </c>
      <c r="M441" s="131">
        <v>0</v>
      </c>
      <c r="N441" s="132">
        <f t="shared" si="57"/>
        <v>7074</v>
      </c>
      <c r="O441" s="132">
        <v>0</v>
      </c>
      <c r="P441" s="127">
        <f t="shared" si="58"/>
        <v>1</v>
      </c>
    </row>
    <row r="442" spans="1:16" ht="14.25" customHeight="1">
      <c r="A442" s="134"/>
      <c r="B442" s="142" t="s">
        <v>665</v>
      </c>
      <c r="C442" s="74" t="s">
        <v>666</v>
      </c>
      <c r="D442" s="131"/>
      <c r="E442" s="131"/>
      <c r="F442" s="131"/>
      <c r="G442" s="131"/>
      <c r="H442" s="131"/>
      <c r="I442" s="131"/>
      <c r="J442" s="131"/>
      <c r="K442" s="131">
        <v>1300</v>
      </c>
      <c r="L442" s="131">
        <v>1300</v>
      </c>
      <c r="M442" s="131">
        <v>0</v>
      </c>
      <c r="N442" s="132">
        <f t="shared" si="57"/>
        <v>1300</v>
      </c>
      <c r="O442" s="132">
        <v>0</v>
      </c>
      <c r="P442" s="127">
        <f t="shared" si="58"/>
        <v>1</v>
      </c>
    </row>
    <row r="443" spans="1:16" ht="15.75" customHeight="1">
      <c r="A443" s="134"/>
      <c r="B443" s="142" t="s">
        <v>225</v>
      </c>
      <c r="C443" s="74" t="s">
        <v>362</v>
      </c>
      <c r="D443" s="131"/>
      <c r="E443" s="131">
        <v>17339</v>
      </c>
      <c r="F443" s="131">
        <v>5526</v>
      </c>
      <c r="G443" s="131">
        <v>0</v>
      </c>
      <c r="H443" s="131">
        <v>25571</v>
      </c>
      <c r="I443" s="131">
        <v>819</v>
      </c>
      <c r="J443" s="131">
        <v>0</v>
      </c>
      <c r="K443" s="131">
        <v>26483</v>
      </c>
      <c r="L443" s="131">
        <v>26483</v>
      </c>
      <c r="M443" s="131">
        <v>0</v>
      </c>
      <c r="N443" s="132">
        <f t="shared" si="57"/>
        <v>26483</v>
      </c>
      <c r="O443" s="132">
        <v>0</v>
      </c>
      <c r="P443" s="127">
        <f t="shared" si="58"/>
        <v>1</v>
      </c>
    </row>
    <row r="444" spans="1:16" ht="16.5" customHeight="1">
      <c r="A444" s="134"/>
      <c r="B444" s="142" t="s">
        <v>373</v>
      </c>
      <c r="C444" s="74" t="s">
        <v>425</v>
      </c>
      <c r="D444" s="131"/>
      <c r="E444" s="131">
        <v>4149</v>
      </c>
      <c r="F444" s="131">
        <v>0</v>
      </c>
      <c r="G444" s="131">
        <v>0</v>
      </c>
      <c r="H444" s="131">
        <v>1500</v>
      </c>
      <c r="I444" s="131">
        <v>0</v>
      </c>
      <c r="J444" s="131">
        <v>0</v>
      </c>
      <c r="K444" s="131">
        <v>3500</v>
      </c>
      <c r="L444" s="131">
        <v>3500</v>
      </c>
      <c r="M444" s="131">
        <v>0</v>
      </c>
      <c r="N444" s="132">
        <f t="shared" si="57"/>
        <v>3500</v>
      </c>
      <c r="O444" s="132">
        <v>0</v>
      </c>
      <c r="P444" s="127">
        <f t="shared" si="58"/>
        <v>1</v>
      </c>
    </row>
    <row r="445" spans="1:16" ht="14.25" customHeight="1">
      <c r="A445" s="134"/>
      <c r="B445" s="142" t="s">
        <v>250</v>
      </c>
      <c r="C445" s="74" t="s">
        <v>266</v>
      </c>
      <c r="D445" s="131"/>
      <c r="E445" s="131">
        <v>4365</v>
      </c>
      <c r="F445" s="131">
        <v>350</v>
      </c>
      <c r="G445" s="131">
        <v>0</v>
      </c>
      <c r="H445" s="131">
        <v>3966</v>
      </c>
      <c r="I445" s="131">
        <v>0</v>
      </c>
      <c r="J445" s="131">
        <v>315</v>
      </c>
      <c r="K445" s="131">
        <v>3631</v>
      </c>
      <c r="L445" s="131">
        <v>3631</v>
      </c>
      <c r="M445" s="131">
        <v>0</v>
      </c>
      <c r="N445" s="132">
        <f t="shared" si="57"/>
        <v>3631</v>
      </c>
      <c r="O445" s="132">
        <v>0</v>
      </c>
      <c r="P445" s="127">
        <f t="shared" si="58"/>
        <v>1</v>
      </c>
    </row>
    <row r="446" spans="1:16" ht="16.5" customHeight="1">
      <c r="A446" s="134"/>
      <c r="B446" s="142" t="s">
        <v>228</v>
      </c>
      <c r="C446" s="74" t="s">
        <v>290</v>
      </c>
      <c r="D446" s="131"/>
      <c r="E446" s="131">
        <v>6136</v>
      </c>
      <c r="F446" s="131">
        <v>800</v>
      </c>
      <c r="G446" s="131">
        <v>0</v>
      </c>
      <c r="H446" s="131">
        <v>6503</v>
      </c>
      <c r="I446" s="131">
        <v>525</v>
      </c>
      <c r="J446" s="131">
        <v>0</v>
      </c>
      <c r="K446" s="131">
        <v>9071</v>
      </c>
      <c r="L446" s="131">
        <v>9071</v>
      </c>
      <c r="M446" s="131">
        <v>0</v>
      </c>
      <c r="N446" s="132">
        <f t="shared" si="57"/>
        <v>9071</v>
      </c>
      <c r="O446" s="132">
        <v>0</v>
      </c>
      <c r="P446" s="127">
        <f t="shared" si="58"/>
        <v>1</v>
      </c>
    </row>
    <row r="447" spans="1:16" ht="16.5" customHeight="1">
      <c r="A447" s="134"/>
      <c r="B447" s="142" t="s">
        <v>667</v>
      </c>
      <c r="C447" s="74" t="s">
        <v>693</v>
      </c>
      <c r="D447" s="131"/>
      <c r="E447" s="131"/>
      <c r="F447" s="131"/>
      <c r="G447" s="131"/>
      <c r="H447" s="131"/>
      <c r="I447" s="131"/>
      <c r="J447" s="131"/>
      <c r="K447" s="131">
        <v>954</v>
      </c>
      <c r="L447" s="131">
        <v>954</v>
      </c>
      <c r="M447" s="131">
        <v>0</v>
      </c>
      <c r="N447" s="132">
        <f t="shared" si="57"/>
        <v>954</v>
      </c>
      <c r="O447" s="132">
        <v>0</v>
      </c>
      <c r="P447" s="127">
        <f t="shared" si="58"/>
        <v>1</v>
      </c>
    </row>
    <row r="448" spans="1:16" ht="15.75" customHeight="1">
      <c r="A448" s="134"/>
      <c r="B448" s="142" t="s">
        <v>254</v>
      </c>
      <c r="C448" s="74" t="s">
        <v>255</v>
      </c>
      <c r="D448" s="131"/>
      <c r="E448" s="131">
        <v>1250</v>
      </c>
      <c r="F448" s="131">
        <v>100</v>
      </c>
      <c r="G448" s="131">
        <v>0</v>
      </c>
      <c r="H448" s="131">
        <v>2500</v>
      </c>
      <c r="I448" s="131">
        <v>0</v>
      </c>
      <c r="J448" s="131">
        <v>277</v>
      </c>
      <c r="K448" s="131">
        <v>2642</v>
      </c>
      <c r="L448" s="131">
        <v>2642</v>
      </c>
      <c r="M448" s="131">
        <v>0</v>
      </c>
      <c r="N448" s="132">
        <f t="shared" si="57"/>
        <v>2642</v>
      </c>
      <c r="O448" s="132">
        <v>0</v>
      </c>
      <c r="P448" s="127">
        <f t="shared" si="58"/>
        <v>1</v>
      </c>
    </row>
    <row r="449" spans="1:16" ht="15" customHeight="1">
      <c r="A449" s="134"/>
      <c r="B449" s="134" t="s">
        <v>221</v>
      </c>
      <c r="C449" s="74" t="s">
        <v>222</v>
      </c>
      <c r="D449" s="131"/>
      <c r="E449" s="131">
        <v>21517</v>
      </c>
      <c r="F449" s="131">
        <v>0</v>
      </c>
      <c r="G449" s="131">
        <v>0</v>
      </c>
      <c r="H449" s="131">
        <v>11800</v>
      </c>
      <c r="I449" s="131">
        <v>0</v>
      </c>
      <c r="J449" s="131">
        <v>0</v>
      </c>
      <c r="K449" s="131">
        <v>14922</v>
      </c>
      <c r="L449" s="131">
        <v>14922</v>
      </c>
      <c r="M449" s="131">
        <v>0</v>
      </c>
      <c r="N449" s="132">
        <f t="shared" si="57"/>
        <v>14922</v>
      </c>
      <c r="O449" s="132">
        <v>0</v>
      </c>
      <c r="P449" s="127">
        <f t="shared" si="58"/>
        <v>1</v>
      </c>
    </row>
    <row r="450" spans="1:16" ht="14.25" customHeight="1">
      <c r="A450" s="134"/>
      <c r="B450" s="134" t="s">
        <v>256</v>
      </c>
      <c r="C450" s="74" t="s">
        <v>257</v>
      </c>
      <c r="D450" s="131"/>
      <c r="E450" s="131"/>
      <c r="F450" s="131"/>
      <c r="G450" s="131"/>
      <c r="H450" s="131">
        <v>1217</v>
      </c>
      <c r="I450" s="131">
        <v>0</v>
      </c>
      <c r="J450" s="131">
        <v>0</v>
      </c>
      <c r="K450" s="131">
        <v>663</v>
      </c>
      <c r="L450" s="131">
        <v>663</v>
      </c>
      <c r="M450" s="131">
        <v>0</v>
      </c>
      <c r="N450" s="132">
        <f t="shared" si="57"/>
        <v>663</v>
      </c>
      <c r="O450" s="132">
        <v>0</v>
      </c>
      <c r="P450" s="127">
        <f t="shared" si="58"/>
        <v>1</v>
      </c>
    </row>
    <row r="451" spans="1:16" ht="15" customHeight="1">
      <c r="A451" s="448" t="s">
        <v>180</v>
      </c>
      <c r="B451" s="448"/>
      <c r="C451" s="450" t="s">
        <v>179</v>
      </c>
      <c r="D451" s="451">
        <f>D453+D454+D455+D464+D465</f>
        <v>1352143</v>
      </c>
      <c r="E451" s="451" t="e">
        <f>E453+E454+E455+E456+#REF!+E457+E458+E459+E460+E461+E462+E464+E463</f>
        <v>#REF!</v>
      </c>
      <c r="F451" s="451" t="e">
        <f>F453+F454+F455+F456+#REF!+F457+F458+F459+F460+F461+F462+F464+F463</f>
        <v>#REF!</v>
      </c>
      <c r="G451" s="451" t="e">
        <f>G453+G454+G455+G456+#REF!+G457+G458+G459+G460+G461+G462+G464+G463</f>
        <v>#REF!</v>
      </c>
      <c r="H451" s="451" t="e">
        <f>H453+H454+H455+H456+#REF!+H467+H468+H469+H471+H472+H473+H470</f>
        <v>#REF!</v>
      </c>
      <c r="I451" s="451" t="e">
        <f>I453+I454+I455+I456+#REF!+I467+I468+I469+I471+I472+I473</f>
        <v>#REF!</v>
      </c>
      <c r="J451" s="451" t="e">
        <f>J453+J454+J455+J456+#REF!+J467+J468+J469+J471+J472+J473</f>
        <v>#REF!</v>
      </c>
      <c r="K451" s="451">
        <f>K452+K453+K454+K455+K456+K467+K468+K469+K471+K472+K473+K474</f>
        <v>1033870</v>
      </c>
      <c r="L451" s="451">
        <f>L452+L453+L454+L455+L456+L467+L468+L469+L471+L472+L473+L474</f>
        <v>1033870</v>
      </c>
      <c r="M451" s="451">
        <f>M452+M453+M454+M455+M456+M467+M468+M469+M471+M472+M473+M474</f>
        <v>0</v>
      </c>
      <c r="N451" s="451">
        <f>N452+N453+N454+N455+N456+N467+N468+N469+N471+N472+N473+N474</f>
        <v>1033870</v>
      </c>
      <c r="O451" s="451">
        <f>O452+O453+O454+O455+O456+O467+O468+O469+O471+O472+O473+O474</f>
        <v>0</v>
      </c>
      <c r="P451" s="452">
        <f t="shared" si="58"/>
        <v>1</v>
      </c>
    </row>
    <row r="452" spans="1:16" ht="14.25" customHeight="1">
      <c r="A452" s="134"/>
      <c r="B452" s="134" t="s">
        <v>215</v>
      </c>
      <c r="C452" s="74" t="s">
        <v>354</v>
      </c>
      <c r="D452" s="131"/>
      <c r="E452" s="131"/>
      <c r="F452" s="131"/>
      <c r="G452" s="131"/>
      <c r="H452" s="131"/>
      <c r="I452" s="131"/>
      <c r="J452" s="131"/>
      <c r="K452" s="131">
        <v>447</v>
      </c>
      <c r="L452" s="131">
        <v>447</v>
      </c>
      <c r="M452" s="131">
        <v>0</v>
      </c>
      <c r="N452" s="132">
        <f aca="true" t="shared" si="59" ref="N452:N474">L452</f>
        <v>447</v>
      </c>
      <c r="O452" s="132">
        <v>0</v>
      </c>
      <c r="P452" s="127">
        <f t="shared" si="58"/>
        <v>1</v>
      </c>
    </row>
    <row r="453" spans="1:16" ht="15" customHeight="1">
      <c r="A453" s="134"/>
      <c r="B453" s="134" t="s">
        <v>238</v>
      </c>
      <c r="C453" s="74" t="s">
        <v>277</v>
      </c>
      <c r="D453" s="131">
        <v>760149</v>
      </c>
      <c r="E453" s="131">
        <v>761652</v>
      </c>
      <c r="F453" s="131">
        <v>1187</v>
      </c>
      <c r="G453" s="131">
        <v>0</v>
      </c>
      <c r="H453" s="131">
        <v>388473</v>
      </c>
      <c r="I453" s="131">
        <v>38365</v>
      </c>
      <c r="J453" s="131">
        <v>0</v>
      </c>
      <c r="K453" s="131">
        <v>472689</v>
      </c>
      <c r="L453" s="131">
        <v>472689</v>
      </c>
      <c r="M453" s="131">
        <v>0</v>
      </c>
      <c r="N453" s="132">
        <f t="shared" si="59"/>
        <v>472689</v>
      </c>
      <c r="O453" s="132">
        <v>0</v>
      </c>
      <c r="P453" s="127">
        <f t="shared" si="58"/>
        <v>1</v>
      </c>
    </row>
    <row r="454" spans="1:16" ht="15" customHeight="1">
      <c r="A454" s="134"/>
      <c r="B454" s="134" t="s">
        <v>240</v>
      </c>
      <c r="C454" s="74" t="s">
        <v>241</v>
      </c>
      <c r="D454" s="131">
        <v>56427</v>
      </c>
      <c r="E454" s="131">
        <v>62354</v>
      </c>
      <c r="F454" s="131">
        <v>0</v>
      </c>
      <c r="G454" s="131">
        <v>0</v>
      </c>
      <c r="H454" s="131">
        <v>32155</v>
      </c>
      <c r="I454" s="131">
        <v>0</v>
      </c>
      <c r="J454" s="131">
        <v>0</v>
      </c>
      <c r="K454" s="131">
        <v>35184</v>
      </c>
      <c r="L454" s="131">
        <v>35184</v>
      </c>
      <c r="M454" s="131">
        <v>0</v>
      </c>
      <c r="N454" s="132">
        <f t="shared" si="59"/>
        <v>35184</v>
      </c>
      <c r="O454" s="132">
        <v>0</v>
      </c>
      <c r="P454" s="127">
        <f t="shared" si="58"/>
        <v>1</v>
      </c>
    </row>
    <row r="455" spans="1:16" ht="15" customHeight="1">
      <c r="A455" s="134"/>
      <c r="B455" s="142" t="s">
        <v>280</v>
      </c>
      <c r="C455" s="74" t="s">
        <v>243</v>
      </c>
      <c r="D455" s="131">
        <v>162435</v>
      </c>
      <c r="E455" s="131">
        <v>143919</v>
      </c>
      <c r="F455" s="131">
        <v>212</v>
      </c>
      <c r="G455" s="131">
        <v>0</v>
      </c>
      <c r="H455" s="131">
        <v>69400</v>
      </c>
      <c r="I455" s="131">
        <v>7290</v>
      </c>
      <c r="J455" s="131">
        <v>0</v>
      </c>
      <c r="K455" s="131">
        <v>88911</v>
      </c>
      <c r="L455" s="131">
        <v>88911</v>
      </c>
      <c r="M455" s="131">
        <v>0</v>
      </c>
      <c r="N455" s="132">
        <f t="shared" si="59"/>
        <v>88911</v>
      </c>
      <c r="O455" s="132">
        <v>0</v>
      </c>
      <c r="P455" s="127">
        <f t="shared" si="58"/>
        <v>1</v>
      </c>
    </row>
    <row r="456" spans="1:16" ht="14.25" customHeight="1">
      <c r="A456" s="134"/>
      <c r="B456" s="142" t="s">
        <v>244</v>
      </c>
      <c r="C456" s="74" t="s">
        <v>245</v>
      </c>
      <c r="D456" s="131"/>
      <c r="E456" s="131">
        <v>19637</v>
      </c>
      <c r="F456" s="131">
        <v>29</v>
      </c>
      <c r="G456" s="131">
        <v>0</v>
      </c>
      <c r="H456" s="131">
        <v>9470</v>
      </c>
      <c r="I456" s="131">
        <v>862</v>
      </c>
      <c r="J456" s="131">
        <v>373</v>
      </c>
      <c r="K456" s="131">
        <v>12011</v>
      </c>
      <c r="L456" s="131">
        <v>12011</v>
      </c>
      <c r="M456" s="131">
        <v>0</v>
      </c>
      <c r="N456" s="132">
        <f t="shared" si="59"/>
        <v>12011</v>
      </c>
      <c r="O456" s="132">
        <v>0</v>
      </c>
      <c r="P456" s="127">
        <f t="shared" si="58"/>
        <v>1</v>
      </c>
    </row>
    <row r="457" spans="1:16" ht="18" customHeight="1" hidden="1">
      <c r="A457" s="134"/>
      <c r="B457" s="142" t="s">
        <v>215</v>
      </c>
      <c r="C457" s="74" t="s">
        <v>392</v>
      </c>
      <c r="D457" s="131"/>
      <c r="E457" s="131">
        <v>6404</v>
      </c>
      <c r="F457" s="131">
        <v>0</v>
      </c>
      <c r="G457" s="131">
        <v>357</v>
      </c>
      <c r="H457" s="131"/>
      <c r="I457" s="131"/>
      <c r="J457" s="131"/>
      <c r="K457" s="131">
        <f aca="true" t="shared" si="60" ref="K457:K466">H457+I457-J457</f>
        <v>0</v>
      </c>
      <c r="L457" s="131"/>
      <c r="M457" s="131">
        <v>0</v>
      </c>
      <c r="N457" s="132">
        <f t="shared" si="59"/>
        <v>0</v>
      </c>
      <c r="O457" s="132">
        <v>0</v>
      </c>
      <c r="P457" s="127" t="e">
        <f t="shared" si="58"/>
        <v>#DIV/0!</v>
      </c>
    </row>
    <row r="458" spans="1:16" ht="18.75" customHeight="1" hidden="1">
      <c r="A458" s="134"/>
      <c r="B458" s="142" t="s">
        <v>225</v>
      </c>
      <c r="C458" s="74" t="s">
        <v>362</v>
      </c>
      <c r="D458" s="131"/>
      <c r="E458" s="131">
        <v>142200</v>
      </c>
      <c r="F458" s="131">
        <v>10663</v>
      </c>
      <c r="G458" s="131">
        <v>0</v>
      </c>
      <c r="H458" s="131"/>
      <c r="I458" s="131"/>
      <c r="J458" s="131"/>
      <c r="K458" s="131">
        <f t="shared" si="60"/>
        <v>0</v>
      </c>
      <c r="L458" s="131"/>
      <c r="M458" s="131">
        <v>0</v>
      </c>
      <c r="N458" s="132">
        <f t="shared" si="59"/>
        <v>0</v>
      </c>
      <c r="O458" s="132">
        <v>0</v>
      </c>
      <c r="P458" s="127" t="e">
        <f t="shared" si="58"/>
        <v>#DIV/0!</v>
      </c>
    </row>
    <row r="459" spans="1:16" ht="15.75" customHeight="1" hidden="1">
      <c r="A459" s="134"/>
      <c r="B459" s="142" t="s">
        <v>250</v>
      </c>
      <c r="C459" s="74" t="s">
        <v>266</v>
      </c>
      <c r="D459" s="131"/>
      <c r="E459" s="131">
        <v>85706</v>
      </c>
      <c r="F459" s="131">
        <v>0</v>
      </c>
      <c r="G459" s="131">
        <v>4000</v>
      </c>
      <c r="H459" s="131"/>
      <c r="I459" s="131"/>
      <c r="J459" s="131"/>
      <c r="K459" s="131">
        <f t="shared" si="60"/>
        <v>0</v>
      </c>
      <c r="L459" s="131"/>
      <c r="M459" s="131">
        <v>0</v>
      </c>
      <c r="N459" s="132">
        <f t="shared" si="59"/>
        <v>0</v>
      </c>
      <c r="O459" s="132">
        <v>0</v>
      </c>
      <c r="P459" s="127" t="e">
        <f t="shared" si="58"/>
        <v>#DIV/0!</v>
      </c>
    </row>
    <row r="460" spans="1:16" ht="15" customHeight="1" hidden="1">
      <c r="A460" s="134"/>
      <c r="B460" s="142" t="s">
        <v>252</v>
      </c>
      <c r="C460" s="74" t="s">
        <v>253</v>
      </c>
      <c r="D460" s="131"/>
      <c r="E460" s="131">
        <v>1000</v>
      </c>
      <c r="F460" s="131">
        <v>0</v>
      </c>
      <c r="G460" s="131">
        <v>1000</v>
      </c>
      <c r="H460" s="131"/>
      <c r="I460" s="131"/>
      <c r="J460" s="131"/>
      <c r="K460" s="131">
        <f t="shared" si="60"/>
        <v>0</v>
      </c>
      <c r="L460" s="131"/>
      <c r="M460" s="131">
        <v>0</v>
      </c>
      <c r="N460" s="132">
        <f t="shared" si="59"/>
        <v>0</v>
      </c>
      <c r="O460" s="132">
        <v>0</v>
      </c>
      <c r="P460" s="127" t="e">
        <f t="shared" si="58"/>
        <v>#DIV/0!</v>
      </c>
    </row>
    <row r="461" spans="1:16" ht="14.25" customHeight="1" hidden="1">
      <c r="A461" s="134"/>
      <c r="B461" s="142" t="s">
        <v>228</v>
      </c>
      <c r="C461" s="74" t="s">
        <v>290</v>
      </c>
      <c r="D461" s="131"/>
      <c r="E461" s="131">
        <v>27769</v>
      </c>
      <c r="F461" s="131">
        <v>0</v>
      </c>
      <c r="G461" s="131">
        <v>3670</v>
      </c>
      <c r="H461" s="131"/>
      <c r="I461" s="131"/>
      <c r="J461" s="131"/>
      <c r="K461" s="131">
        <f t="shared" si="60"/>
        <v>0</v>
      </c>
      <c r="L461" s="131"/>
      <c r="M461" s="131">
        <v>0</v>
      </c>
      <c r="N461" s="132">
        <f t="shared" si="59"/>
        <v>0</v>
      </c>
      <c r="O461" s="132">
        <v>0</v>
      </c>
      <c r="P461" s="127" t="e">
        <f t="shared" si="58"/>
        <v>#DIV/0!</v>
      </c>
    </row>
    <row r="462" spans="1:16" ht="15" customHeight="1" hidden="1">
      <c r="A462" s="134"/>
      <c r="B462" s="142" t="s">
        <v>254</v>
      </c>
      <c r="C462" s="74" t="s">
        <v>255</v>
      </c>
      <c r="D462" s="131"/>
      <c r="E462" s="131">
        <v>272</v>
      </c>
      <c r="F462" s="131">
        <v>0</v>
      </c>
      <c r="G462" s="131">
        <v>100</v>
      </c>
      <c r="H462" s="131"/>
      <c r="I462" s="131"/>
      <c r="J462" s="131"/>
      <c r="K462" s="131">
        <f t="shared" si="60"/>
        <v>0</v>
      </c>
      <c r="L462" s="131"/>
      <c r="M462" s="131">
        <v>0</v>
      </c>
      <c r="N462" s="132">
        <f t="shared" si="59"/>
        <v>0</v>
      </c>
      <c r="O462" s="132">
        <v>0</v>
      </c>
      <c r="P462" s="127" t="e">
        <f t="shared" si="58"/>
        <v>#DIV/0!</v>
      </c>
    </row>
    <row r="463" spans="1:16" ht="12.75" customHeight="1" hidden="1">
      <c r="A463" s="134"/>
      <c r="B463" s="142" t="s">
        <v>219</v>
      </c>
      <c r="C463" s="74" t="s">
        <v>220</v>
      </c>
      <c r="D463" s="131"/>
      <c r="E463" s="131">
        <v>513</v>
      </c>
      <c r="F463" s="131">
        <v>0</v>
      </c>
      <c r="G463" s="131">
        <v>0</v>
      </c>
      <c r="H463" s="131"/>
      <c r="I463" s="131"/>
      <c r="J463" s="131"/>
      <c r="K463" s="131">
        <f t="shared" si="60"/>
        <v>0</v>
      </c>
      <c r="L463" s="131"/>
      <c r="M463" s="131">
        <v>0</v>
      </c>
      <c r="N463" s="132">
        <f t="shared" si="59"/>
        <v>0</v>
      </c>
      <c r="O463" s="132">
        <v>0</v>
      </c>
      <c r="P463" s="127" t="e">
        <f t="shared" si="58"/>
        <v>#DIV/0!</v>
      </c>
    </row>
    <row r="464" spans="1:16" ht="12.75" customHeight="1" hidden="1">
      <c r="A464" s="134"/>
      <c r="B464" s="134" t="s">
        <v>221</v>
      </c>
      <c r="C464" s="131" t="s">
        <v>222</v>
      </c>
      <c r="D464" s="131">
        <v>281900</v>
      </c>
      <c r="E464" s="131">
        <v>44414</v>
      </c>
      <c r="F464" s="131">
        <v>670</v>
      </c>
      <c r="G464" s="131">
        <v>2066</v>
      </c>
      <c r="H464" s="131"/>
      <c r="I464" s="131"/>
      <c r="J464" s="131"/>
      <c r="K464" s="131">
        <f t="shared" si="60"/>
        <v>0</v>
      </c>
      <c r="L464" s="131"/>
      <c r="M464" s="131">
        <v>0</v>
      </c>
      <c r="N464" s="132">
        <f t="shared" si="59"/>
        <v>0</v>
      </c>
      <c r="O464" s="132">
        <v>0</v>
      </c>
      <c r="P464" s="127" t="e">
        <f t="shared" si="58"/>
        <v>#DIV/0!</v>
      </c>
    </row>
    <row r="465" spans="1:16" ht="14.25" customHeight="1" hidden="1">
      <c r="A465" s="134"/>
      <c r="B465" s="134" t="s">
        <v>260</v>
      </c>
      <c r="C465" s="131" t="s">
        <v>426</v>
      </c>
      <c r="D465" s="131">
        <v>91232</v>
      </c>
      <c r="E465" s="131">
        <v>0</v>
      </c>
      <c r="F465" s="131"/>
      <c r="G465" s="131"/>
      <c r="H465" s="131"/>
      <c r="I465" s="131"/>
      <c r="J465" s="131"/>
      <c r="K465" s="131">
        <f t="shared" si="60"/>
        <v>0</v>
      </c>
      <c r="L465" s="131"/>
      <c r="M465" s="131">
        <v>0</v>
      </c>
      <c r="N465" s="132">
        <f t="shared" si="59"/>
        <v>0</v>
      </c>
      <c r="O465" s="132">
        <v>0</v>
      </c>
      <c r="P465" s="127" t="e">
        <f t="shared" si="58"/>
        <v>#DIV/0!</v>
      </c>
    </row>
    <row r="466" spans="1:16" ht="35.25" customHeight="1" hidden="1">
      <c r="A466" s="123" t="s">
        <v>427</v>
      </c>
      <c r="B466" s="123"/>
      <c r="C466" s="137" t="s">
        <v>428</v>
      </c>
      <c r="D466" s="138" t="e">
        <f>#REF!+D468</f>
        <v>#REF!</v>
      </c>
      <c r="E466" s="138" t="e">
        <f>#REF!+E468</f>
        <v>#REF!</v>
      </c>
      <c r="F466" s="138"/>
      <c r="G466" s="138"/>
      <c r="H466" s="131"/>
      <c r="I466" s="131"/>
      <c r="J466" s="131"/>
      <c r="K466" s="131">
        <f t="shared" si="60"/>
        <v>0</v>
      </c>
      <c r="L466" s="131"/>
      <c r="M466" s="131">
        <v>0</v>
      </c>
      <c r="N466" s="132">
        <f t="shared" si="59"/>
        <v>0</v>
      </c>
      <c r="O466" s="132">
        <v>0</v>
      </c>
      <c r="P466" s="127" t="e">
        <f t="shared" si="58"/>
        <v>#DIV/0!</v>
      </c>
    </row>
    <row r="467" spans="1:16" ht="12.75" customHeight="1">
      <c r="A467" s="123"/>
      <c r="B467" s="134" t="s">
        <v>665</v>
      </c>
      <c r="C467" s="74" t="s">
        <v>666</v>
      </c>
      <c r="D467" s="131"/>
      <c r="E467" s="131"/>
      <c r="F467" s="131"/>
      <c r="G467" s="131"/>
      <c r="H467" s="131">
        <v>1500</v>
      </c>
      <c r="I467" s="131">
        <v>0</v>
      </c>
      <c r="J467" s="131">
        <v>236</v>
      </c>
      <c r="K467" s="131">
        <v>8804</v>
      </c>
      <c r="L467" s="131">
        <v>8804</v>
      </c>
      <c r="M467" s="131">
        <v>0</v>
      </c>
      <c r="N467" s="132">
        <f t="shared" si="59"/>
        <v>8804</v>
      </c>
      <c r="O467" s="132">
        <v>0</v>
      </c>
      <c r="P467" s="127">
        <f t="shared" si="58"/>
        <v>1</v>
      </c>
    </row>
    <row r="468" spans="1:16" ht="13.5" customHeight="1">
      <c r="A468" s="134"/>
      <c r="B468" s="142" t="s">
        <v>225</v>
      </c>
      <c r="C468" s="74" t="s">
        <v>249</v>
      </c>
      <c r="D468" s="131">
        <v>200</v>
      </c>
      <c r="E468" s="131">
        <v>0</v>
      </c>
      <c r="F468" s="131"/>
      <c r="G468" s="131"/>
      <c r="H468" s="131">
        <v>275062</v>
      </c>
      <c r="I468" s="131">
        <v>0</v>
      </c>
      <c r="J468" s="131">
        <v>120472</v>
      </c>
      <c r="K468" s="131">
        <v>266833</v>
      </c>
      <c r="L468" s="131">
        <v>266833</v>
      </c>
      <c r="M468" s="131">
        <v>0</v>
      </c>
      <c r="N468" s="132">
        <f t="shared" si="59"/>
        <v>266833</v>
      </c>
      <c r="O468" s="132">
        <v>0</v>
      </c>
      <c r="P468" s="127">
        <f t="shared" si="58"/>
        <v>1</v>
      </c>
    </row>
    <row r="469" spans="1:16" ht="13.5" customHeight="1">
      <c r="A469" s="134"/>
      <c r="B469" s="142" t="s">
        <v>250</v>
      </c>
      <c r="C469" s="74" t="s">
        <v>266</v>
      </c>
      <c r="D469" s="131"/>
      <c r="E469" s="131"/>
      <c r="F469" s="131"/>
      <c r="G469" s="131"/>
      <c r="H469" s="131">
        <v>75958</v>
      </c>
      <c r="I469" s="131">
        <v>4400</v>
      </c>
      <c r="J469" s="131">
        <v>2932</v>
      </c>
      <c r="K469" s="131">
        <v>78450</v>
      </c>
      <c r="L469" s="131">
        <v>78450</v>
      </c>
      <c r="M469" s="131">
        <v>0</v>
      </c>
      <c r="N469" s="132">
        <f t="shared" si="59"/>
        <v>78450</v>
      </c>
      <c r="O469" s="132">
        <v>0</v>
      </c>
      <c r="P469" s="127">
        <f t="shared" si="58"/>
        <v>1</v>
      </c>
    </row>
    <row r="470" spans="1:16" ht="15" customHeight="1" hidden="1">
      <c r="A470" s="134"/>
      <c r="B470" s="142" t="s">
        <v>252</v>
      </c>
      <c r="C470" s="74" t="s">
        <v>253</v>
      </c>
      <c r="D470" s="131"/>
      <c r="E470" s="131"/>
      <c r="F470" s="131"/>
      <c r="G470" s="131"/>
      <c r="H470" s="131">
        <v>0</v>
      </c>
      <c r="I470" s="131">
        <v>0</v>
      </c>
      <c r="J470" s="131">
        <v>0</v>
      </c>
      <c r="K470" s="131">
        <f>H470+I470-J470</f>
        <v>0</v>
      </c>
      <c r="L470" s="131"/>
      <c r="M470" s="131">
        <v>0</v>
      </c>
      <c r="N470" s="132">
        <f t="shared" si="59"/>
        <v>0</v>
      </c>
      <c r="O470" s="132">
        <v>0</v>
      </c>
      <c r="P470" s="127" t="e">
        <f t="shared" si="58"/>
        <v>#DIV/0!</v>
      </c>
    </row>
    <row r="471" spans="1:16" ht="13.5" customHeight="1">
      <c r="A471" s="134"/>
      <c r="B471" s="142" t="s">
        <v>228</v>
      </c>
      <c r="C471" s="74" t="s">
        <v>290</v>
      </c>
      <c r="D471" s="131"/>
      <c r="E471" s="131"/>
      <c r="F471" s="131"/>
      <c r="G471" s="131"/>
      <c r="H471" s="131">
        <v>49052</v>
      </c>
      <c r="I471" s="131">
        <v>3186</v>
      </c>
      <c r="J471" s="131">
        <v>6100</v>
      </c>
      <c r="K471" s="131">
        <v>32437</v>
      </c>
      <c r="L471" s="131">
        <v>32437</v>
      </c>
      <c r="M471" s="131">
        <v>0</v>
      </c>
      <c r="N471" s="132">
        <f t="shared" si="59"/>
        <v>32437</v>
      </c>
      <c r="O471" s="132">
        <v>0</v>
      </c>
      <c r="P471" s="127">
        <f t="shared" si="58"/>
        <v>1</v>
      </c>
    </row>
    <row r="472" spans="1:16" ht="13.5" customHeight="1">
      <c r="A472" s="134"/>
      <c r="B472" s="142" t="s">
        <v>221</v>
      </c>
      <c r="C472" s="74" t="s">
        <v>222</v>
      </c>
      <c r="D472" s="131"/>
      <c r="E472" s="131"/>
      <c r="F472" s="131"/>
      <c r="G472" s="131"/>
      <c r="H472" s="131">
        <v>15678</v>
      </c>
      <c r="I472" s="131">
        <v>1455</v>
      </c>
      <c r="J472" s="131">
        <v>0</v>
      </c>
      <c r="K472" s="131">
        <v>25898</v>
      </c>
      <c r="L472" s="131">
        <v>25898</v>
      </c>
      <c r="M472" s="131">
        <v>0</v>
      </c>
      <c r="N472" s="132">
        <f t="shared" si="59"/>
        <v>25898</v>
      </c>
      <c r="O472" s="132">
        <v>0</v>
      </c>
      <c r="P472" s="127">
        <f t="shared" si="58"/>
        <v>1</v>
      </c>
    </row>
    <row r="473" spans="1:16" ht="12.75" customHeight="1">
      <c r="A473" s="134"/>
      <c r="B473" s="142" t="s">
        <v>256</v>
      </c>
      <c r="C473" s="74" t="s">
        <v>257</v>
      </c>
      <c r="D473" s="131"/>
      <c r="E473" s="131">
        <v>94026</v>
      </c>
      <c r="F473" s="131">
        <v>0</v>
      </c>
      <c r="G473" s="131">
        <v>0</v>
      </c>
      <c r="H473" s="131">
        <v>4200</v>
      </c>
      <c r="I473" s="131">
        <v>0</v>
      </c>
      <c r="J473" s="131">
        <v>6</v>
      </c>
      <c r="K473" s="131">
        <v>6106</v>
      </c>
      <c r="L473" s="131">
        <v>6106</v>
      </c>
      <c r="M473" s="131">
        <v>0</v>
      </c>
      <c r="N473" s="132">
        <f t="shared" si="59"/>
        <v>6106</v>
      </c>
      <c r="O473" s="132">
        <v>0</v>
      </c>
      <c r="P473" s="127">
        <f aca="true" t="shared" si="61" ref="P473:P509">L473/K473</f>
        <v>1</v>
      </c>
    </row>
    <row r="474" spans="1:16" ht="12.75" customHeight="1">
      <c r="A474" s="134"/>
      <c r="B474" s="142" t="s">
        <v>694</v>
      </c>
      <c r="C474" s="74" t="s">
        <v>430</v>
      </c>
      <c r="D474" s="131"/>
      <c r="E474" s="131"/>
      <c r="F474" s="131"/>
      <c r="G474" s="131"/>
      <c r="H474" s="131"/>
      <c r="I474" s="131"/>
      <c r="J474" s="131"/>
      <c r="K474" s="131">
        <v>6100</v>
      </c>
      <c r="L474" s="131">
        <v>6100</v>
      </c>
      <c r="M474" s="131">
        <v>0</v>
      </c>
      <c r="N474" s="132">
        <f t="shared" si="59"/>
        <v>6100</v>
      </c>
      <c r="O474" s="132">
        <v>0</v>
      </c>
      <c r="P474" s="127">
        <f t="shared" si="61"/>
        <v>1</v>
      </c>
    </row>
    <row r="475" spans="1:16" ht="15.75" customHeight="1">
      <c r="A475" s="448" t="s">
        <v>185</v>
      </c>
      <c r="B475" s="455"/>
      <c r="C475" s="450" t="s">
        <v>429</v>
      </c>
      <c r="D475" s="451"/>
      <c r="E475" s="451"/>
      <c r="F475" s="451"/>
      <c r="G475" s="451"/>
      <c r="H475" s="451">
        <f>H476</f>
        <v>11419</v>
      </c>
      <c r="I475" s="451">
        <f>I476</f>
        <v>0</v>
      </c>
      <c r="J475" s="451">
        <f>J476</f>
        <v>0</v>
      </c>
      <c r="K475" s="451">
        <f>K476+K477+K478+K479+K480+K481+K482+K483+K484</f>
        <v>422092</v>
      </c>
      <c r="L475" s="451">
        <f>L476+L477+L478+L479+L480+L481+L482+L483+L484</f>
        <v>421591</v>
      </c>
      <c r="M475" s="451">
        <f>M476+M477+M478+M479+M480+M481+M482+M483+M484</f>
        <v>0</v>
      </c>
      <c r="N475" s="451">
        <f>N476+N477+N478+N479+N480+N481+N482+N483+N484</f>
        <v>421591</v>
      </c>
      <c r="O475" s="451">
        <f>O476+O477+O478+O479+O480+O481+O482+O483+O484</f>
        <v>0</v>
      </c>
      <c r="P475" s="452">
        <f t="shared" si="61"/>
        <v>0.9988130549737971</v>
      </c>
    </row>
    <row r="476" spans="1:16" ht="15" customHeight="1">
      <c r="A476" s="134"/>
      <c r="B476" s="142" t="s">
        <v>431</v>
      </c>
      <c r="C476" s="74" t="s">
        <v>432</v>
      </c>
      <c r="D476" s="131"/>
      <c r="E476" s="131"/>
      <c r="F476" s="131"/>
      <c r="G476" s="131"/>
      <c r="H476" s="131">
        <v>11419</v>
      </c>
      <c r="I476" s="131">
        <v>0</v>
      </c>
      <c r="J476" s="131">
        <v>0</v>
      </c>
      <c r="K476" s="131">
        <v>6000</v>
      </c>
      <c r="L476" s="131">
        <v>6000</v>
      </c>
      <c r="M476" s="131">
        <v>0</v>
      </c>
      <c r="N476" s="132">
        <f>L476</f>
        <v>6000</v>
      </c>
      <c r="O476" s="132">
        <v>0</v>
      </c>
      <c r="P476" s="127">
        <f t="shared" si="61"/>
        <v>1</v>
      </c>
    </row>
    <row r="477" spans="1:16" ht="15" customHeight="1">
      <c r="A477" s="134"/>
      <c r="B477" s="142" t="s">
        <v>695</v>
      </c>
      <c r="C477" s="74" t="s">
        <v>432</v>
      </c>
      <c r="D477" s="131"/>
      <c r="E477" s="131"/>
      <c r="F477" s="131"/>
      <c r="G477" s="131"/>
      <c r="H477" s="131"/>
      <c r="I477" s="131"/>
      <c r="J477" s="131"/>
      <c r="K477" s="131">
        <v>279855</v>
      </c>
      <c r="L477" s="131">
        <v>279855</v>
      </c>
      <c r="M477" s="131">
        <v>0</v>
      </c>
      <c r="N477" s="132">
        <f aca="true" t="shared" si="62" ref="N477:N484">L477</f>
        <v>279855</v>
      </c>
      <c r="O477" s="132">
        <v>0</v>
      </c>
      <c r="P477" s="127">
        <f t="shared" si="61"/>
        <v>1</v>
      </c>
    </row>
    <row r="478" spans="1:16" ht="15" customHeight="1">
      <c r="A478" s="134"/>
      <c r="B478" s="142" t="s">
        <v>696</v>
      </c>
      <c r="C478" s="74" t="s">
        <v>432</v>
      </c>
      <c r="D478" s="131"/>
      <c r="E478" s="131"/>
      <c r="F478" s="131"/>
      <c r="G478" s="131"/>
      <c r="H478" s="131"/>
      <c r="I478" s="131"/>
      <c r="J478" s="131"/>
      <c r="K478" s="131">
        <v>131697</v>
      </c>
      <c r="L478" s="131">
        <v>131696</v>
      </c>
      <c r="M478" s="131">
        <v>0</v>
      </c>
      <c r="N478" s="132">
        <f t="shared" si="62"/>
        <v>131696</v>
      </c>
      <c r="O478" s="132">
        <v>0</v>
      </c>
      <c r="P478" s="127">
        <f t="shared" si="61"/>
        <v>0.9999924068126077</v>
      </c>
    </row>
    <row r="479" spans="1:16" ht="15" customHeight="1">
      <c r="A479" s="134"/>
      <c r="B479" s="142" t="s">
        <v>697</v>
      </c>
      <c r="C479" s="74" t="s">
        <v>666</v>
      </c>
      <c r="D479" s="131"/>
      <c r="E479" s="131"/>
      <c r="F479" s="131"/>
      <c r="G479" s="131"/>
      <c r="H479" s="131"/>
      <c r="I479" s="131"/>
      <c r="J479" s="131"/>
      <c r="K479" s="131">
        <v>1224</v>
      </c>
      <c r="L479" s="131">
        <v>1224</v>
      </c>
      <c r="M479" s="131">
        <v>0</v>
      </c>
      <c r="N479" s="132">
        <f t="shared" si="62"/>
        <v>1224</v>
      </c>
      <c r="O479" s="132">
        <v>0</v>
      </c>
      <c r="P479" s="127">
        <f t="shared" si="61"/>
        <v>1</v>
      </c>
    </row>
    <row r="480" spans="1:16" ht="15" customHeight="1">
      <c r="A480" s="134"/>
      <c r="B480" s="142" t="s">
        <v>698</v>
      </c>
      <c r="C480" s="74" t="s">
        <v>666</v>
      </c>
      <c r="D480" s="131"/>
      <c r="E480" s="131"/>
      <c r="F480" s="131"/>
      <c r="G480" s="131"/>
      <c r="H480" s="131"/>
      <c r="I480" s="131"/>
      <c r="J480" s="131"/>
      <c r="K480" s="131">
        <v>576</v>
      </c>
      <c r="L480" s="131">
        <v>576</v>
      </c>
      <c r="M480" s="131">
        <v>0</v>
      </c>
      <c r="N480" s="132">
        <f t="shared" si="62"/>
        <v>576</v>
      </c>
      <c r="O480" s="132">
        <v>0</v>
      </c>
      <c r="P480" s="127">
        <f t="shared" si="61"/>
        <v>1</v>
      </c>
    </row>
    <row r="481" spans="1:16" ht="15" customHeight="1">
      <c r="A481" s="134"/>
      <c r="B481" s="142" t="s">
        <v>699</v>
      </c>
      <c r="C481" s="74" t="s">
        <v>249</v>
      </c>
      <c r="D481" s="131"/>
      <c r="E481" s="131"/>
      <c r="F481" s="131"/>
      <c r="G481" s="131"/>
      <c r="H481" s="131"/>
      <c r="I481" s="131"/>
      <c r="J481" s="131"/>
      <c r="K481" s="131">
        <v>1462</v>
      </c>
      <c r="L481" s="131">
        <v>1190</v>
      </c>
      <c r="M481" s="131">
        <v>0</v>
      </c>
      <c r="N481" s="132">
        <f t="shared" si="62"/>
        <v>1190</v>
      </c>
      <c r="O481" s="132">
        <v>0</v>
      </c>
      <c r="P481" s="127">
        <f t="shared" si="61"/>
        <v>0.813953488372093</v>
      </c>
    </row>
    <row r="482" spans="1:16" ht="15" customHeight="1">
      <c r="A482" s="134"/>
      <c r="B482" s="142" t="s">
        <v>700</v>
      </c>
      <c r="C482" s="74" t="s">
        <v>249</v>
      </c>
      <c r="D482" s="131"/>
      <c r="E482" s="131"/>
      <c r="F482" s="131"/>
      <c r="G482" s="131"/>
      <c r="H482" s="131"/>
      <c r="I482" s="131"/>
      <c r="J482" s="131"/>
      <c r="K482" s="131">
        <v>688</v>
      </c>
      <c r="L482" s="131">
        <v>560</v>
      </c>
      <c r="M482" s="131">
        <v>0</v>
      </c>
      <c r="N482" s="132">
        <f t="shared" si="62"/>
        <v>560</v>
      </c>
      <c r="O482" s="132">
        <v>0</v>
      </c>
      <c r="P482" s="127">
        <f t="shared" si="61"/>
        <v>0.813953488372093</v>
      </c>
    </row>
    <row r="483" spans="1:16" ht="15" customHeight="1">
      <c r="A483" s="134"/>
      <c r="B483" s="142" t="s">
        <v>691</v>
      </c>
      <c r="C483" s="74" t="s">
        <v>229</v>
      </c>
      <c r="D483" s="131"/>
      <c r="E483" s="131"/>
      <c r="F483" s="131"/>
      <c r="G483" s="131"/>
      <c r="H483" s="131"/>
      <c r="I483" s="131"/>
      <c r="J483" s="131"/>
      <c r="K483" s="131">
        <v>401</v>
      </c>
      <c r="L483" s="131">
        <v>333</v>
      </c>
      <c r="M483" s="131">
        <v>0</v>
      </c>
      <c r="N483" s="132">
        <f t="shared" si="62"/>
        <v>333</v>
      </c>
      <c r="O483" s="132">
        <v>0</v>
      </c>
      <c r="P483" s="127">
        <f t="shared" si="61"/>
        <v>0.830423940149626</v>
      </c>
    </row>
    <row r="484" spans="1:16" ht="15" customHeight="1">
      <c r="A484" s="134"/>
      <c r="B484" s="142" t="s">
        <v>701</v>
      </c>
      <c r="C484" s="74" t="s">
        <v>229</v>
      </c>
      <c r="D484" s="131"/>
      <c r="E484" s="131"/>
      <c r="F484" s="131"/>
      <c r="G484" s="131"/>
      <c r="H484" s="131"/>
      <c r="I484" s="131"/>
      <c r="J484" s="131"/>
      <c r="K484" s="131">
        <v>189</v>
      </c>
      <c r="L484" s="131">
        <v>157</v>
      </c>
      <c r="M484" s="131">
        <v>0</v>
      </c>
      <c r="N484" s="132">
        <f t="shared" si="62"/>
        <v>157</v>
      </c>
      <c r="O484" s="132">
        <v>0</v>
      </c>
      <c r="P484" s="127">
        <f t="shared" si="61"/>
        <v>0.8306878306878307</v>
      </c>
    </row>
    <row r="485" spans="1:16" ht="12.75" customHeight="1">
      <c r="A485" s="448" t="s">
        <v>433</v>
      </c>
      <c r="B485" s="448"/>
      <c r="C485" s="450" t="s">
        <v>434</v>
      </c>
      <c r="D485" s="451">
        <f>D486+D487</f>
        <v>24996</v>
      </c>
      <c r="E485" s="451" t="e">
        <f>E486+E487+E488+E489+#REF!+#REF!</f>
        <v>#REF!</v>
      </c>
      <c r="F485" s="451" t="e">
        <f>F486+F487+F488+F489+#REF!+#REF!</f>
        <v>#REF!</v>
      </c>
      <c r="G485" s="451" t="e">
        <f>G486+G487+G488+G489+#REF!+#REF!</f>
        <v>#REF!</v>
      </c>
      <c r="H485" s="451" t="e">
        <f>H486+#REF!+#REF!+H487+H488</f>
        <v>#REF!</v>
      </c>
      <c r="I485" s="451" t="e">
        <f>I486+#REF!+#REF!+I487+I488</f>
        <v>#REF!</v>
      </c>
      <c r="J485" s="451" t="e">
        <f>J486+#REF!+#REF!+J487+J488</f>
        <v>#REF!</v>
      </c>
      <c r="K485" s="451">
        <f>K486+K487+K488+K489</f>
        <v>3900</v>
      </c>
      <c r="L485" s="451">
        <f>L486+L487+L488+L489</f>
        <v>3900</v>
      </c>
      <c r="M485" s="451">
        <f>M486+M487+M488+M489</f>
        <v>0</v>
      </c>
      <c r="N485" s="451">
        <f>N486+N487+N488+N489</f>
        <v>2400</v>
      </c>
      <c r="O485" s="451">
        <f>O486+O487+O488+O489</f>
        <v>1500</v>
      </c>
      <c r="P485" s="452">
        <f t="shared" si="61"/>
        <v>1</v>
      </c>
    </row>
    <row r="486" spans="1:16" ht="14.25" customHeight="1">
      <c r="A486" s="134"/>
      <c r="B486" s="134" t="s">
        <v>230</v>
      </c>
      <c r="C486" s="74" t="s">
        <v>410</v>
      </c>
      <c r="D486" s="131">
        <v>16664</v>
      </c>
      <c r="E486" s="131">
        <v>16664</v>
      </c>
      <c r="F486" s="131">
        <v>0</v>
      </c>
      <c r="G486" s="131">
        <v>0</v>
      </c>
      <c r="H486" s="131">
        <v>6000</v>
      </c>
      <c r="I486" s="131">
        <v>0</v>
      </c>
      <c r="J486" s="131">
        <v>0</v>
      </c>
      <c r="K486" s="131">
        <v>1500</v>
      </c>
      <c r="L486" s="131">
        <v>1500</v>
      </c>
      <c r="M486" s="131">
        <v>0</v>
      </c>
      <c r="N486" s="132">
        <v>0</v>
      </c>
      <c r="O486" s="132">
        <f>L486</f>
        <v>1500</v>
      </c>
      <c r="P486" s="127">
        <f t="shared" si="61"/>
        <v>1</v>
      </c>
    </row>
    <row r="487" spans="1:16" ht="15" customHeight="1">
      <c r="A487" s="134"/>
      <c r="B487" s="134" t="s">
        <v>665</v>
      </c>
      <c r="C487" s="74" t="s">
        <v>666</v>
      </c>
      <c r="D487" s="131">
        <v>8332</v>
      </c>
      <c r="E487" s="131">
        <v>3107</v>
      </c>
      <c r="F487" s="131">
        <v>0</v>
      </c>
      <c r="G487" s="131">
        <v>325</v>
      </c>
      <c r="H487" s="131">
        <v>832</v>
      </c>
      <c r="I487" s="131">
        <v>0</v>
      </c>
      <c r="J487" s="131">
        <v>0</v>
      </c>
      <c r="K487" s="131">
        <v>1400</v>
      </c>
      <c r="L487" s="131">
        <v>1400</v>
      </c>
      <c r="M487" s="131">
        <v>0</v>
      </c>
      <c r="N487" s="132">
        <f>L487</f>
        <v>1400</v>
      </c>
      <c r="O487" s="132">
        <v>0</v>
      </c>
      <c r="P487" s="127">
        <f t="shared" si="61"/>
        <v>1</v>
      </c>
    </row>
    <row r="488" spans="1:16" ht="15.75" customHeight="1">
      <c r="A488" s="134"/>
      <c r="B488" s="134" t="s">
        <v>225</v>
      </c>
      <c r="C488" s="74" t="s">
        <v>249</v>
      </c>
      <c r="D488" s="131"/>
      <c r="E488" s="131">
        <v>2500</v>
      </c>
      <c r="F488" s="131">
        <v>0</v>
      </c>
      <c r="G488" s="131">
        <v>0</v>
      </c>
      <c r="H488" s="131">
        <v>1800</v>
      </c>
      <c r="I488" s="131">
        <v>0</v>
      </c>
      <c r="J488" s="131">
        <v>0</v>
      </c>
      <c r="K488" s="131">
        <v>600</v>
      </c>
      <c r="L488" s="131">
        <v>600</v>
      </c>
      <c r="M488" s="131">
        <v>0</v>
      </c>
      <c r="N488" s="132">
        <f>L488</f>
        <v>600</v>
      </c>
      <c r="O488" s="132">
        <v>0</v>
      </c>
      <c r="P488" s="127">
        <f t="shared" si="61"/>
        <v>1</v>
      </c>
    </row>
    <row r="489" spans="1:16" ht="15.75" customHeight="1">
      <c r="A489" s="134"/>
      <c r="B489" s="134" t="s">
        <v>228</v>
      </c>
      <c r="C489" s="74" t="s">
        <v>229</v>
      </c>
      <c r="D489" s="131"/>
      <c r="E489" s="131">
        <v>2400</v>
      </c>
      <c r="F489" s="131">
        <v>0</v>
      </c>
      <c r="G489" s="131">
        <v>0</v>
      </c>
      <c r="H489" s="131"/>
      <c r="I489" s="131"/>
      <c r="J489" s="131"/>
      <c r="K489" s="131">
        <v>400</v>
      </c>
      <c r="L489" s="131">
        <v>400</v>
      </c>
      <c r="M489" s="131"/>
      <c r="N489" s="132">
        <f>L489</f>
        <v>400</v>
      </c>
      <c r="O489" s="132"/>
      <c r="P489" s="127">
        <f t="shared" si="61"/>
        <v>1</v>
      </c>
    </row>
    <row r="490" spans="1:16" ht="15.75" customHeight="1">
      <c r="A490" s="448" t="s">
        <v>435</v>
      </c>
      <c r="B490" s="448"/>
      <c r="C490" s="450" t="s">
        <v>33</v>
      </c>
      <c r="D490" s="451"/>
      <c r="E490" s="451">
        <f aca="true" t="shared" si="63" ref="E490:O490">E491</f>
        <v>0</v>
      </c>
      <c r="F490" s="451">
        <f t="shared" si="63"/>
        <v>27582</v>
      </c>
      <c r="G490" s="451">
        <f t="shared" si="63"/>
        <v>0</v>
      </c>
      <c r="H490" s="451">
        <f t="shared" si="63"/>
        <v>12118</v>
      </c>
      <c r="I490" s="451">
        <f t="shared" si="63"/>
        <v>0</v>
      </c>
      <c r="J490" s="451">
        <f t="shared" si="63"/>
        <v>0</v>
      </c>
      <c r="K490" s="451">
        <f t="shared" si="63"/>
        <v>25543</v>
      </c>
      <c r="L490" s="451">
        <f t="shared" si="63"/>
        <v>25543</v>
      </c>
      <c r="M490" s="451">
        <f t="shared" si="63"/>
        <v>0</v>
      </c>
      <c r="N490" s="454">
        <f t="shared" si="63"/>
        <v>25543</v>
      </c>
      <c r="O490" s="454">
        <f t="shared" si="63"/>
        <v>0</v>
      </c>
      <c r="P490" s="452">
        <f t="shared" si="61"/>
        <v>1</v>
      </c>
    </row>
    <row r="491" spans="1:16" ht="15.75" customHeight="1">
      <c r="A491" s="440"/>
      <c r="B491" s="440" t="s">
        <v>221</v>
      </c>
      <c r="C491" s="362" t="s">
        <v>222</v>
      </c>
      <c r="D491" s="441"/>
      <c r="E491" s="441">
        <v>0</v>
      </c>
      <c r="F491" s="441">
        <v>27582</v>
      </c>
      <c r="G491" s="441">
        <v>0</v>
      </c>
      <c r="H491" s="442">
        <v>12118</v>
      </c>
      <c r="I491" s="442">
        <v>0</v>
      </c>
      <c r="J491" s="442">
        <v>0</v>
      </c>
      <c r="K491" s="441">
        <v>25543</v>
      </c>
      <c r="L491" s="441">
        <v>25543</v>
      </c>
      <c r="M491" s="441">
        <v>0</v>
      </c>
      <c r="N491" s="442">
        <f>L491</f>
        <v>25543</v>
      </c>
      <c r="O491" s="442">
        <v>0</v>
      </c>
      <c r="P491" s="127">
        <f t="shared" si="61"/>
        <v>1</v>
      </c>
    </row>
    <row r="492" spans="1:16" ht="24" customHeight="1">
      <c r="A492" s="437" t="s">
        <v>182</v>
      </c>
      <c r="B492" s="437"/>
      <c r="C492" s="436" t="s">
        <v>436</v>
      </c>
      <c r="D492" s="433">
        <f aca="true" t="shared" si="64" ref="D492:O492">D493+D495</f>
        <v>5000</v>
      </c>
      <c r="E492" s="433">
        <f t="shared" si="64"/>
        <v>45000</v>
      </c>
      <c r="F492" s="433">
        <f t="shared" si="64"/>
        <v>0</v>
      </c>
      <c r="G492" s="433">
        <f t="shared" si="64"/>
        <v>0</v>
      </c>
      <c r="H492" s="433" t="e">
        <f t="shared" si="64"/>
        <v>#REF!</v>
      </c>
      <c r="I492" s="433" t="e">
        <f t="shared" si="64"/>
        <v>#REF!</v>
      </c>
      <c r="J492" s="433" t="e">
        <f t="shared" si="64"/>
        <v>#REF!</v>
      </c>
      <c r="K492" s="433">
        <f t="shared" si="64"/>
        <v>37972</v>
      </c>
      <c r="L492" s="433">
        <f t="shared" si="64"/>
        <v>37972</v>
      </c>
      <c r="M492" s="433">
        <f t="shared" si="64"/>
        <v>0</v>
      </c>
      <c r="N492" s="434">
        <f t="shared" si="64"/>
        <v>4972</v>
      </c>
      <c r="O492" s="434">
        <f t="shared" si="64"/>
        <v>33000</v>
      </c>
      <c r="P492" s="430">
        <f t="shared" si="61"/>
        <v>1</v>
      </c>
    </row>
    <row r="493" spans="1:16" ht="15" customHeight="1">
      <c r="A493" s="448" t="s">
        <v>437</v>
      </c>
      <c r="B493" s="448"/>
      <c r="C493" s="450" t="s">
        <v>189</v>
      </c>
      <c r="D493" s="451">
        <f aca="true" t="shared" si="65" ref="D493:O493">D494</f>
        <v>0</v>
      </c>
      <c r="E493" s="451">
        <f t="shared" si="65"/>
        <v>30000</v>
      </c>
      <c r="F493" s="451">
        <f t="shared" si="65"/>
        <v>0</v>
      </c>
      <c r="G493" s="451">
        <f t="shared" si="65"/>
        <v>0</v>
      </c>
      <c r="H493" s="451">
        <f t="shared" si="65"/>
        <v>30000</v>
      </c>
      <c r="I493" s="451">
        <f t="shared" si="65"/>
        <v>0</v>
      </c>
      <c r="J493" s="451">
        <f t="shared" si="65"/>
        <v>0</v>
      </c>
      <c r="K493" s="451">
        <f t="shared" si="65"/>
        <v>33000</v>
      </c>
      <c r="L493" s="451">
        <f t="shared" si="65"/>
        <v>33000</v>
      </c>
      <c r="M493" s="451">
        <f t="shared" si="65"/>
        <v>0</v>
      </c>
      <c r="N493" s="454">
        <f t="shared" si="65"/>
        <v>0</v>
      </c>
      <c r="O493" s="454">
        <f t="shared" si="65"/>
        <v>33000</v>
      </c>
      <c r="P493" s="452">
        <f t="shared" si="61"/>
        <v>1</v>
      </c>
    </row>
    <row r="494" spans="1:16" ht="15" customHeight="1">
      <c r="A494" s="134"/>
      <c r="B494" s="134" t="s">
        <v>230</v>
      </c>
      <c r="C494" s="74" t="s">
        <v>410</v>
      </c>
      <c r="D494" s="131">
        <v>0</v>
      </c>
      <c r="E494" s="131">
        <v>30000</v>
      </c>
      <c r="F494" s="131">
        <v>0</v>
      </c>
      <c r="G494" s="131">
        <v>0</v>
      </c>
      <c r="H494" s="131">
        <v>30000</v>
      </c>
      <c r="I494" s="131">
        <v>0</v>
      </c>
      <c r="J494" s="131">
        <v>0</v>
      </c>
      <c r="K494" s="131">
        <v>33000</v>
      </c>
      <c r="L494" s="131">
        <v>33000</v>
      </c>
      <c r="M494" s="131">
        <v>0</v>
      </c>
      <c r="N494" s="132">
        <v>0</v>
      </c>
      <c r="O494" s="132">
        <f>L494</f>
        <v>33000</v>
      </c>
      <c r="P494" s="127">
        <f t="shared" si="61"/>
        <v>1</v>
      </c>
    </row>
    <row r="495" spans="1:16" ht="15" customHeight="1">
      <c r="A495" s="448" t="s">
        <v>183</v>
      </c>
      <c r="B495" s="453"/>
      <c r="C495" s="450" t="s">
        <v>33</v>
      </c>
      <c r="D495" s="451">
        <f>D500</f>
        <v>5000</v>
      </c>
      <c r="E495" s="451">
        <f>E498+E499+E496</f>
        <v>15000</v>
      </c>
      <c r="F495" s="451">
        <f>F498+F499+F496</f>
        <v>0</v>
      </c>
      <c r="G495" s="451">
        <f>G498+G499+G496</f>
        <v>0</v>
      </c>
      <c r="H495" s="451" t="e">
        <f>H498+H499+#REF!</f>
        <v>#REF!</v>
      </c>
      <c r="I495" s="451" t="e">
        <f>I498+I499+#REF!</f>
        <v>#REF!</v>
      </c>
      <c r="J495" s="451" t="e">
        <f>J498+J499+#REF!</f>
        <v>#REF!</v>
      </c>
      <c r="K495" s="451">
        <f>K498+K499</f>
        <v>4972</v>
      </c>
      <c r="L495" s="451">
        <f>L498+L499</f>
        <v>4972</v>
      </c>
      <c r="M495" s="451">
        <f>M498+M499</f>
        <v>0</v>
      </c>
      <c r="N495" s="451">
        <f>N498+N499</f>
        <v>4972</v>
      </c>
      <c r="O495" s="451">
        <f>O498+O499</f>
        <v>0</v>
      </c>
      <c r="P495" s="452">
        <f t="shared" si="61"/>
        <v>1</v>
      </c>
    </row>
    <row r="496" spans="1:16" ht="14.25" customHeight="1" hidden="1">
      <c r="A496" s="123"/>
      <c r="B496" s="134"/>
      <c r="C496" s="74" t="s">
        <v>281</v>
      </c>
      <c r="D496" s="131"/>
      <c r="E496" s="131">
        <v>240</v>
      </c>
      <c r="F496" s="131">
        <v>0</v>
      </c>
      <c r="G496" s="131">
        <v>0</v>
      </c>
      <c r="H496" s="131"/>
      <c r="I496" s="131"/>
      <c r="J496" s="131"/>
      <c r="K496" s="131"/>
      <c r="L496" s="131"/>
      <c r="M496" s="131">
        <v>0</v>
      </c>
      <c r="N496" s="132">
        <f>H496</f>
        <v>0</v>
      </c>
      <c r="O496" s="132">
        <v>0</v>
      </c>
      <c r="P496" s="127" t="e">
        <f t="shared" si="61"/>
        <v>#DIV/0!</v>
      </c>
    </row>
    <row r="497" spans="1:16" ht="28.5" customHeight="1" hidden="1">
      <c r="A497" s="123"/>
      <c r="B497" s="134" t="s">
        <v>230</v>
      </c>
      <c r="C497" s="74" t="s">
        <v>438</v>
      </c>
      <c r="D497" s="131"/>
      <c r="E497" s="131"/>
      <c r="F497" s="131"/>
      <c r="G497" s="131"/>
      <c r="H497" s="131">
        <v>0</v>
      </c>
      <c r="I497" s="131">
        <v>0</v>
      </c>
      <c r="J497" s="131">
        <v>0</v>
      </c>
      <c r="K497" s="131">
        <v>0</v>
      </c>
      <c r="L497" s="131"/>
      <c r="M497" s="131">
        <v>0</v>
      </c>
      <c r="N497" s="132">
        <v>0</v>
      </c>
      <c r="O497" s="132">
        <v>0</v>
      </c>
      <c r="P497" s="127" t="e">
        <f t="shared" si="61"/>
        <v>#DIV/0!</v>
      </c>
    </row>
    <row r="498" spans="1:16" ht="15" customHeight="1">
      <c r="A498" s="123"/>
      <c r="B498" s="134" t="s">
        <v>225</v>
      </c>
      <c r="C498" s="74" t="s">
        <v>249</v>
      </c>
      <c r="D498" s="131"/>
      <c r="E498" s="131">
        <v>10760</v>
      </c>
      <c r="F498" s="131">
        <v>0</v>
      </c>
      <c r="G498" s="131">
        <v>0</v>
      </c>
      <c r="H498" s="131">
        <v>3570</v>
      </c>
      <c r="I498" s="131">
        <v>933</v>
      </c>
      <c r="J498" s="131">
        <v>0</v>
      </c>
      <c r="K498" s="131">
        <v>4485</v>
      </c>
      <c r="L498" s="131">
        <v>4485</v>
      </c>
      <c r="M498" s="131">
        <v>0</v>
      </c>
      <c r="N498" s="132">
        <f>L498</f>
        <v>4485</v>
      </c>
      <c r="O498" s="132">
        <v>0</v>
      </c>
      <c r="P498" s="127">
        <f t="shared" si="61"/>
        <v>1</v>
      </c>
    </row>
    <row r="499" spans="1:16" ht="13.5" customHeight="1">
      <c r="A499" s="123"/>
      <c r="B499" s="134" t="s">
        <v>228</v>
      </c>
      <c r="C499" s="74" t="s">
        <v>229</v>
      </c>
      <c r="D499" s="131"/>
      <c r="E499" s="131">
        <v>4000</v>
      </c>
      <c r="F499" s="131">
        <v>0</v>
      </c>
      <c r="G499" s="131">
        <v>0</v>
      </c>
      <c r="H499" s="131">
        <v>1480</v>
      </c>
      <c r="I499" s="131">
        <v>0</v>
      </c>
      <c r="J499" s="131">
        <v>980</v>
      </c>
      <c r="K499" s="131">
        <v>487</v>
      </c>
      <c r="L499" s="131">
        <v>487</v>
      </c>
      <c r="M499" s="131">
        <v>0</v>
      </c>
      <c r="N499" s="132">
        <f>L499</f>
        <v>487</v>
      </c>
      <c r="O499" s="132">
        <v>0</v>
      </c>
      <c r="P499" s="127">
        <f t="shared" si="61"/>
        <v>1</v>
      </c>
    </row>
    <row r="500" spans="1:16" ht="18" customHeight="1" hidden="1">
      <c r="A500" s="134"/>
      <c r="B500" s="134"/>
      <c r="C500" s="74" t="s">
        <v>356</v>
      </c>
      <c r="D500" s="131">
        <v>5000</v>
      </c>
      <c r="E500" s="131">
        <v>0</v>
      </c>
      <c r="F500" s="131"/>
      <c r="G500" s="131"/>
      <c r="H500" s="131"/>
      <c r="I500" s="131"/>
      <c r="J500" s="131"/>
      <c r="K500" s="131"/>
      <c r="L500" s="131"/>
      <c r="M500" s="131"/>
      <c r="N500" s="132"/>
      <c r="O500" s="132"/>
      <c r="P500" s="127" t="e">
        <f t="shared" si="61"/>
        <v>#DIV/0!</v>
      </c>
    </row>
    <row r="501" spans="1:16" ht="14.25" customHeight="1">
      <c r="A501" s="431" t="s">
        <v>439</v>
      </c>
      <c r="B501" s="431"/>
      <c r="C501" s="436" t="s">
        <v>440</v>
      </c>
      <c r="D501" s="433">
        <f>D502+D504</f>
        <v>10000</v>
      </c>
      <c r="E501" s="433">
        <f>E502+E504</f>
        <v>25000</v>
      </c>
      <c r="F501" s="433">
        <f aca="true" t="shared" si="66" ref="F501:O501">F504</f>
        <v>0</v>
      </c>
      <c r="G501" s="433">
        <f t="shared" si="66"/>
        <v>0</v>
      </c>
      <c r="H501" s="433">
        <f t="shared" si="66"/>
        <v>16000</v>
      </c>
      <c r="I501" s="433">
        <f t="shared" si="66"/>
        <v>0</v>
      </c>
      <c r="J501" s="433">
        <f t="shared" si="66"/>
        <v>0</v>
      </c>
      <c r="K501" s="433">
        <f t="shared" si="66"/>
        <v>16000</v>
      </c>
      <c r="L501" s="433">
        <f t="shared" si="66"/>
        <v>16000</v>
      </c>
      <c r="M501" s="433">
        <f t="shared" si="66"/>
        <v>0</v>
      </c>
      <c r="N501" s="434">
        <f t="shared" si="66"/>
        <v>16000</v>
      </c>
      <c r="O501" s="434">
        <f t="shared" si="66"/>
        <v>0</v>
      </c>
      <c r="P501" s="430">
        <f t="shared" si="61"/>
        <v>1</v>
      </c>
    </row>
    <row r="502" spans="1:16" ht="18" customHeight="1" hidden="1">
      <c r="A502" s="129" t="s">
        <v>441</v>
      </c>
      <c r="B502" s="140"/>
      <c r="C502" s="137" t="s">
        <v>442</v>
      </c>
      <c r="D502" s="138">
        <f>D503</f>
        <v>0</v>
      </c>
      <c r="E502" s="138">
        <f>E503</f>
        <v>0</v>
      </c>
      <c r="F502" s="138"/>
      <c r="G502" s="138"/>
      <c r="H502" s="138"/>
      <c r="I502" s="138"/>
      <c r="J502" s="138"/>
      <c r="K502" s="138"/>
      <c r="L502" s="138"/>
      <c r="M502" s="138"/>
      <c r="N502" s="139"/>
      <c r="O502" s="139"/>
      <c r="P502" s="127" t="e">
        <f t="shared" si="61"/>
        <v>#DIV/0!</v>
      </c>
    </row>
    <row r="503" spans="1:16" ht="14.25" customHeight="1" hidden="1">
      <c r="A503" s="134"/>
      <c r="B503" s="140" t="s">
        <v>258</v>
      </c>
      <c r="C503" s="74" t="s">
        <v>443</v>
      </c>
      <c r="D503" s="131">
        <v>0</v>
      </c>
      <c r="E503" s="131">
        <v>0</v>
      </c>
      <c r="F503" s="131"/>
      <c r="G503" s="131"/>
      <c r="H503" s="131"/>
      <c r="I503" s="131"/>
      <c r="J503" s="131"/>
      <c r="K503" s="131"/>
      <c r="L503" s="131"/>
      <c r="M503" s="131"/>
      <c r="N503" s="132"/>
      <c r="O503" s="132"/>
      <c r="P503" s="127" t="e">
        <f t="shared" si="61"/>
        <v>#DIV/0!</v>
      </c>
    </row>
    <row r="504" spans="1:16" ht="12.75" customHeight="1">
      <c r="A504" s="448" t="s">
        <v>444</v>
      </c>
      <c r="B504" s="449"/>
      <c r="C504" s="450" t="s">
        <v>33</v>
      </c>
      <c r="D504" s="451">
        <f>D508</f>
        <v>10000</v>
      </c>
      <c r="E504" s="451">
        <f>E505+E506</f>
        <v>25000</v>
      </c>
      <c r="F504" s="451">
        <f>F505+F506</f>
        <v>0</v>
      </c>
      <c r="G504" s="451">
        <f>G505+G506</f>
        <v>0</v>
      </c>
      <c r="H504" s="451">
        <f aca="true" t="shared" si="67" ref="H504:O504">H506</f>
        <v>16000</v>
      </c>
      <c r="I504" s="451">
        <f t="shared" si="67"/>
        <v>0</v>
      </c>
      <c r="J504" s="451">
        <f t="shared" si="67"/>
        <v>0</v>
      </c>
      <c r="K504" s="451">
        <f t="shared" si="67"/>
        <v>16000</v>
      </c>
      <c r="L504" s="451">
        <f t="shared" si="67"/>
        <v>16000</v>
      </c>
      <c r="M504" s="451">
        <f t="shared" si="67"/>
        <v>0</v>
      </c>
      <c r="N504" s="451">
        <f t="shared" si="67"/>
        <v>16000</v>
      </c>
      <c r="O504" s="451">
        <f t="shared" si="67"/>
        <v>0</v>
      </c>
      <c r="P504" s="452">
        <f t="shared" si="61"/>
        <v>1</v>
      </c>
    </row>
    <row r="505" spans="1:16" ht="26.25" customHeight="1" hidden="1">
      <c r="A505" s="123"/>
      <c r="B505" s="140"/>
      <c r="C505" s="74" t="s">
        <v>281</v>
      </c>
      <c r="D505" s="131"/>
      <c r="E505" s="131">
        <v>10800</v>
      </c>
      <c r="F505" s="131">
        <v>0</v>
      </c>
      <c r="G505" s="131">
        <v>0</v>
      </c>
      <c r="H505" s="131"/>
      <c r="I505" s="131"/>
      <c r="J505" s="131"/>
      <c r="K505" s="131"/>
      <c r="L505" s="131"/>
      <c r="M505" s="131">
        <v>0</v>
      </c>
      <c r="N505" s="132">
        <f>H505</f>
        <v>0</v>
      </c>
      <c r="O505" s="132">
        <v>0</v>
      </c>
      <c r="P505" s="127" t="e">
        <f t="shared" si="61"/>
        <v>#DIV/0!</v>
      </c>
    </row>
    <row r="506" spans="1:16" ht="21.75" customHeight="1" thickBot="1">
      <c r="A506" s="123"/>
      <c r="B506" s="140" t="s">
        <v>445</v>
      </c>
      <c r="C506" s="74" t="s">
        <v>446</v>
      </c>
      <c r="D506" s="131"/>
      <c r="E506" s="131">
        <v>14200</v>
      </c>
      <c r="F506" s="131">
        <v>0</v>
      </c>
      <c r="G506" s="131">
        <v>0</v>
      </c>
      <c r="H506" s="131">
        <v>16000</v>
      </c>
      <c r="I506" s="131">
        <v>0</v>
      </c>
      <c r="J506" s="131">
        <v>0</v>
      </c>
      <c r="K506" s="131">
        <f>H506+I506-J506</f>
        <v>16000</v>
      </c>
      <c r="L506" s="131">
        <v>16000</v>
      </c>
      <c r="M506" s="131">
        <v>0</v>
      </c>
      <c r="N506" s="132">
        <f>L506</f>
        <v>16000</v>
      </c>
      <c r="O506" s="132">
        <v>0</v>
      </c>
      <c r="P506" s="127">
        <f t="shared" si="61"/>
        <v>1</v>
      </c>
    </row>
    <row r="507" spans="1:16" ht="16.5" customHeight="1" hidden="1">
      <c r="A507" s="123"/>
      <c r="B507" s="129"/>
      <c r="C507" s="137"/>
      <c r="D507" s="138"/>
      <c r="E507" s="138"/>
      <c r="F507" s="138"/>
      <c r="G507" s="138"/>
      <c r="H507" s="138"/>
      <c r="I507" s="138"/>
      <c r="J507" s="138"/>
      <c r="K507" s="138"/>
      <c r="L507" s="138"/>
      <c r="M507" s="138"/>
      <c r="N507" s="139"/>
      <c r="O507" s="139"/>
      <c r="P507" s="127" t="e">
        <f t="shared" si="61"/>
        <v>#DIV/0!</v>
      </c>
    </row>
    <row r="508" spans="1:16" ht="3.75" customHeight="1" hidden="1">
      <c r="A508" s="374"/>
      <c r="B508" s="201"/>
      <c r="C508" s="310"/>
      <c r="D508" s="141">
        <v>10000</v>
      </c>
      <c r="E508" s="141"/>
      <c r="F508" s="141"/>
      <c r="G508" s="141"/>
      <c r="H508" s="141"/>
      <c r="I508" s="141"/>
      <c r="J508" s="141"/>
      <c r="K508" s="141"/>
      <c r="L508" s="141"/>
      <c r="M508" s="141"/>
      <c r="N508" s="172"/>
      <c r="O508" s="172"/>
      <c r="P508" s="375" t="e">
        <f t="shared" si="61"/>
        <v>#DIV/0!</v>
      </c>
    </row>
    <row r="509" spans="1:16" ht="24" customHeight="1" thickBot="1">
      <c r="A509" s="443"/>
      <c r="B509" s="444"/>
      <c r="C509" s="445" t="s">
        <v>447</v>
      </c>
      <c r="D509" s="446" t="e">
        <f>D9+D20+D26+D50+D59+D77+D143+D173+D180+D185+D303+D318+D421+D492+D501</f>
        <v>#REF!</v>
      </c>
      <c r="E509" s="446" t="e">
        <f>E9+E20+E26+E50+E59+E77+E143+E173+E180+E185+E303+E318+E421+E492+E501</f>
        <v>#REF!</v>
      </c>
      <c r="F509" s="446" t="e">
        <f>F501+F492+F421+F318+F303+F185+F180+F173+F143+F77+F59+F50+F26+F20+F9</f>
        <v>#REF!</v>
      </c>
      <c r="G509" s="446" t="e">
        <f>G501+G492+G421+G318+G303+G185+G180+G173+G143+G77+G59+G50+G26+G20+G9</f>
        <v>#REF!</v>
      </c>
      <c r="H509" s="446" t="e">
        <f>H501+H492+H421+H318+H303+H185+H180+H173+H143+H137+H77+H59+H50+H26+H20+H9+#REF!</f>
        <v>#REF!</v>
      </c>
      <c r="I509" s="446" t="e">
        <f>I501+I492+I421+I318+I303+I185+I180+I173+I143+I137+I77+I59+I50+I26+I20+I9+#REF!</f>
        <v>#REF!</v>
      </c>
      <c r="J509" s="446" t="e">
        <f>J501+J492+J421+J318+J303+J185+J180+J173+J143+J137+J77+J59+J50+J26+J20+J9+#REF!</f>
        <v>#REF!</v>
      </c>
      <c r="K509" s="446">
        <f>K9+K20+K26+K50+K59+K77+K143+K173+K185+K293+K303+K318+K397+K421+K492+K501</f>
        <v>32061849</v>
      </c>
      <c r="L509" s="446">
        <f>L9+L20+L26+L50+L59+L77+L143+L173+L185+L293+L303+L318+L397+L421+L492+L501</f>
        <v>32043507</v>
      </c>
      <c r="M509" s="446">
        <f>M9+M20+M26+M50+M59+M77+M143+M173+M185+M293+M303+M318+M397+M421+M492+M501</f>
        <v>2989574</v>
      </c>
      <c r="N509" s="446">
        <f>N9+N20+N26+N50+N59+N77+N143+N173+N185+N293+N303+N318+N397+N421+N492+N501</f>
        <v>28590667</v>
      </c>
      <c r="O509" s="446">
        <f>O9+O20+O26+O50+O59+O77+O143+O173+O185+O293+O303+O318+O397+O421+O492+O501</f>
        <v>463266</v>
      </c>
      <c r="P509" s="447">
        <f t="shared" si="61"/>
        <v>0.9994279182089592</v>
      </c>
    </row>
    <row r="510" spans="1:16" ht="11.25" customHeight="1">
      <c r="A510" s="144"/>
      <c r="B510" s="837" t="s">
        <v>448</v>
      </c>
      <c r="C510" s="838"/>
      <c r="D510" s="229" t="s">
        <v>449</v>
      </c>
      <c r="E510" s="229" t="s">
        <v>449</v>
      </c>
      <c r="F510" s="229" t="s">
        <v>449</v>
      </c>
      <c r="G510" s="229" t="s">
        <v>449</v>
      </c>
      <c r="H510" s="229"/>
      <c r="I510" s="229"/>
      <c r="J510" s="229"/>
      <c r="K510" s="229"/>
      <c r="L510" s="229"/>
      <c r="M510" s="229"/>
      <c r="N510" s="229"/>
      <c r="O510" s="229"/>
      <c r="P510" s="376"/>
    </row>
    <row r="511" spans="1:16" ht="16.5" customHeight="1">
      <c r="A511" s="144"/>
      <c r="B511" s="821" t="s">
        <v>450</v>
      </c>
      <c r="C511" s="822"/>
      <c r="D511" s="822"/>
      <c r="E511" s="131" t="e">
        <f aca="true" t="shared" si="68" ref="E511:O511">E509-E516</f>
        <v>#REF!</v>
      </c>
      <c r="F511" s="131" t="e">
        <f t="shared" si="68"/>
        <v>#REF!</v>
      </c>
      <c r="G511" s="131" t="e">
        <f t="shared" si="68"/>
        <v>#REF!</v>
      </c>
      <c r="H511" s="131" t="e">
        <f t="shared" si="68"/>
        <v>#REF!</v>
      </c>
      <c r="I511" s="131" t="e">
        <f t="shared" si="68"/>
        <v>#REF!</v>
      </c>
      <c r="J511" s="131" t="e">
        <f t="shared" si="68"/>
        <v>#REF!</v>
      </c>
      <c r="K511" s="131">
        <f t="shared" si="68"/>
        <v>25017451</v>
      </c>
      <c r="L511" s="131">
        <f t="shared" si="68"/>
        <v>25002017</v>
      </c>
      <c r="M511" s="131">
        <f t="shared" si="68"/>
        <v>2962079</v>
      </c>
      <c r="N511" s="132">
        <f t="shared" si="68"/>
        <v>21585552</v>
      </c>
      <c r="O511" s="132">
        <f t="shared" si="68"/>
        <v>454386</v>
      </c>
      <c r="P511" s="127">
        <f aca="true" t="shared" si="69" ref="P511:P517">L511/K511</f>
        <v>0.9993830706413696</v>
      </c>
    </row>
    <row r="512" spans="1:16" ht="15.75" customHeight="1">
      <c r="A512" s="144"/>
      <c r="B512" s="821" t="s">
        <v>451</v>
      </c>
      <c r="C512" s="822"/>
      <c r="D512" s="822"/>
      <c r="E512" s="131" t="e">
        <f>#REF!+#REF!+E28+E29+E65+E67+E79+E80+E104+E105+#REF!+#REF!+#REF!+#REF!+#REF!+#REF!+E188+E189+E206+E207+E219+E220+#REF!+#REF!+E249+E250+#REF!+#REF!+E268+E269+#REF!+#REF!+E322+E323+E339+E340+E364+E365+E381+E410+E411+E423+E424+E438+E439+E453+E454+#REF!+E148+E149+E150+E151+E152+E153+E399+#REF!</f>
        <v>#REF!</v>
      </c>
      <c r="F512" s="131" t="e">
        <f>#REF!+#REF!+F28+F29+F65+F67+F79+F80+F104+F105+#REF!+#REF!+#REF!+#REF!+#REF!+#REF!+F188+F189+F206+F207+F219+F220+#REF!+#REF!+F249+F250+#REF!+#REF!+F268+F269+#REF!+#REF!+F322+F323+F339+F340+F364+F365+F381+F410+F411+F423+F424+F438+F439+F453+F454+#REF!+F148+F149+F150+F151+F152+F153+F399+#REF!</f>
        <v>#REF!</v>
      </c>
      <c r="G512" s="131" t="e">
        <f>#REF!+#REF!+G28+G29+G65+G67+G79+G80+G104+G105+#REF!+#REF!+#REF!+#REF!+#REF!+#REF!+G188+G189+G206+G207+G219+G220+#REF!+#REF!+G249+G250+#REF!+#REF!+G268+G269+#REF!+#REF!+G322+G323+G339+G340+G364+G365+G381+G410+G411+G423+G424+G438+G439+G453+G454+#REF!+G148+G149+G150+G151+G152+G153+G399+#REF!</f>
        <v>#REF!</v>
      </c>
      <c r="H512" s="131" t="e">
        <f>#REF!+#REF!+#REF!+H28+H29+H65+H66+H67+H79+H80+H104+H105+#REF!+#REF!+#REF!+#REF!+#REF!+#REF!+#REF!+H148+H149+H150+H151+H152+H153++H188+H189+H206+H207+H219+H220+H249+H250+#REF!+H268+H269+H322+H323+H339+H340+H364+H365+H381+H382+H399+H402+H410+H411+H423+H424+H438+H439+H453+H454+H283+H237</f>
        <v>#REF!</v>
      </c>
      <c r="I512" s="131" t="e">
        <f>#REF!+#REF!+#REF!+I28+I29+I65+I66+I67+I79+I80+I104+I105+#REF!+#REF!+#REF!+#REF!+#REF!+#REF!+#REF!+I148+I149+I150+I151+I152+I153++I188+I189+I206+I207+I219+I220+I249+I250+#REF!+I268+I269+I322+I323+I339+I340+I364+I365+I381+I382+I399+I402+I410+I411+I423+I424+I438+I439+I453+I454+I283+I237</f>
        <v>#REF!</v>
      </c>
      <c r="J512" s="131" t="e">
        <f>#REF!+#REF!+#REF!+J28+J29+J65+J66+J67+J79+J80+J104+J105+#REF!+#REF!+#REF!+#REF!+#REF!+#REF!+#REF!+J148+J149+J150+J151+J152+J153++J188+J189+J206+J207+J219+J220+J249+J250+#REF!+J268+J269+J322+J323+J339+J340+J364+J365+J381+J382+J399+J402+J410+J411+J423+J424+J438+J439+J453+J454+J283+J237</f>
        <v>#REF!</v>
      </c>
      <c r="K512" s="131">
        <f>K28+K29+K32+K52+K65+K66+K67+K80+K81+K85+K104+K105+K110+K129+K135+K139+K148+K149+K150+K151+K152+K156+K188+K189+K206+K207+K219+K220+K224+K237+K238+K249+K250+K253+K268+K269+K278+K283+K286+K297+K298+K322+K323+K339+K340+K364+K365+K368+K381+K382+K399+K402+K410+K411+K414+K423+K424+K438+K439+K442+K453+K454+K467+K479+K480+K487</f>
        <v>12238909</v>
      </c>
      <c r="L512" s="131">
        <f>L28+L29+L32+L52+L65+L66+L67+L80+L81+L85+L104+L105+L110+L129+L135+L139+L148+L149+L150+L151+L152+L156+L188+L189+L206+L207+L219+L220+L224+L237+L238+L249+L250+L253+L268+L269+L278+L283+L286+L297+L298+L322+L323+L339+L340+L364+L365+L368+L381+L382+L399+L402+L410+L411+L414+L423+L424+L438+L439+L442+L453+L454+L467+L479+L480+L487</f>
        <v>12238645</v>
      </c>
      <c r="M512" s="131">
        <f>M28+M29+M32+M52+M65+M66+M67+M80+M81+M85+M104+M105+M110+M129+M135+M139+M148+M149+M150+M151+M152+M156+M188+M189+M206+M207+M219+M220+M224+M237+M238+M249+M250+M253+M268+M269+M278+M283+M286+M297+M298+M322+M323+M339+M340+M364+M365+M368+M381+M382+M399+M402+M410+M411+M414+M423+M424+M438+M439+M442+M453+M454+M467+M479+M480+M487</f>
        <v>1608101</v>
      </c>
      <c r="N512" s="131">
        <f>N28+N29+N32+N52+N65+N66+N67+N80+N81+N85+N104+N105+N110+N129+N135+N139+N148+N149+N150+N151+N152+N156+N188+N189+N206+N207+N219+N220+N224+N237+N238+N249+N250+N253+N268+N269+N278+N283+N286+N297+N298+N322+N323+N339+N340+N364+N365+N368+N381+N382+N399+N402+N410+N411+N414+N423+N424+N438+N439+N442+N453+N454+N467+N479+N480+N487</f>
        <v>10630544</v>
      </c>
      <c r="O512" s="131">
        <f>O28+O29+O32+O52+O65+O66+O67+O80+O81+O85+O104+O105+O110+O129+O135+O139+O148+O149+O150+O151+O152+O156+O188+O189+O206+O207+O219+O220+O224+O237+O238+O249+O250+O253+O268+O269+O278+O283+O286+O297+O298+O322+O323+O339+O340+O364+O365+O368+O381+O382+O399+O402+O410+O411+O414+O423+O424+O438+O439+O442+O453+O454+O467+O479+O480+O487</f>
        <v>0</v>
      </c>
      <c r="P512" s="127">
        <f t="shared" si="69"/>
        <v>0.9999784294498799</v>
      </c>
    </row>
    <row r="513" spans="1:16" ht="15" customHeight="1">
      <c r="A513" s="144"/>
      <c r="B513" s="821" t="s">
        <v>452</v>
      </c>
      <c r="C513" s="822"/>
      <c r="D513" s="822"/>
      <c r="E513" s="131" t="e">
        <f>#REF!+#REF!+E30+E31+E68+E69+E81+E82+E106+E107+E127+E128+#REF!+#REF!+E154+E155+E190+E191+E208+E209+E221+E222+E251+E252+#REF!+#REF!+#REF!+#REF!+E270+E271+#REF!+#REF!+E324+E325+E341+E342+E366+E367+E383+E384+E412+E413+E425+E426+E440+E441+E455+E456+E279+#REF!+E403+E404+#REF!+#REF!</f>
        <v>#REF!</v>
      </c>
      <c r="F513" s="131" t="e">
        <f>#REF!+#REF!+F30+F31+F68+F69+F81+F82+F106+F107+F127+F128+#REF!+#REF!+F154+F155+F190+F191+F208+F209+F221+F222+F251+F252+#REF!+#REF!+#REF!+#REF!+F270+F271+#REF!+#REF!+F324+F325+F341+F342+F366+F367+F383+F384+F412+F413+F425+F426+F440+F441+F455+F456+F279+#REF!+F403+F404+#REF!+#REF!</f>
        <v>#REF!</v>
      </c>
      <c r="G513" s="131" t="e">
        <f>#REF!+#REF!+G30+G31+G68+G69+G81+G82+G106+G107+G127+G128+#REF!+#REF!+G154+G155+G190+G191+G208+G209+G221+G222+G251+G252+#REF!+#REF!+#REF!+#REF!+G270+G271+#REF!+#REF!+G324+G325+G341+G342+G366+G367+G383+G384+G412+G413+G425+G426+G440+G441+G455+G456+G279+#REF!+G403+G404+#REF!+#REF!</f>
        <v>#REF!</v>
      </c>
      <c r="H513" s="131" t="e">
        <f>#REF!+#REF!+H30+H31+H68+H69+H81+H82+H106+H107+H127+H128+#REF!+#REF!+H154+H155+H190+H191+H208+H209+H221+H222+H251+H252+#REF!+#REF!+H270+H271+H324+H325+H341+H342+H366+H367+H383+H384+H403+H404+H412+H413+H425+H426+H440+H441+H455+H456+#REF!+#REF!+H284+H285+H239+H240</f>
        <v>#REF!</v>
      </c>
      <c r="I513" s="131" t="e">
        <f>#REF!+#REF!+I30+I31+I68+I69+I81+I82+I106+I107+I127+I128+#REF!+#REF!+I154+I155+I190+I191+I208+I209+I221+I222+I251+I252+#REF!+#REF!+I270+I271+I324+I325+I341+I342+I366+I367+I383+I384+I403+I404+I412+I413+I425+I426+I440+I441+I455+I456+#REF!+#REF!+I284+I285+I239+I240</f>
        <v>#REF!</v>
      </c>
      <c r="J513" s="131" t="e">
        <f>#REF!+#REF!+J30+J31+J68+J69+J81+J82+J106+J107+J127+J128+#REF!+#REF!+J154+J155+J190+J191+J208+J209+J221+J222+J251+J252+#REF!+#REF!+J270+J271+J324+J325+J341+J342+J366+J367+J383+J384+J403+J404+J412+J413+J425+J426+J440+J441+J455+J456+#REF!+#REF!+J284+J285+J239+J240</f>
        <v>#REF!</v>
      </c>
      <c r="K513" s="131">
        <f>K30+K31+K68+K69+K82+K84+K106+K107+K127+K128+K154+K155+K190+K191+K208+K209+K221+K222+K239+K240+K251+K252+K270+K271+K284+K285+K324+K325+K341+K342+K366+K367+K383+K384+K403+K404+K412+K413+K425+K426+K440+K441+K455+K456</f>
        <v>2122803</v>
      </c>
      <c r="L513" s="131">
        <f>L30+L31+L68+L69+L82+L84+L106+L107+L127+L128+L154+L155+L190+L191+L208+L209+L221+L222+L239+L240+L251+L252+L270+L271+L284+L285+L324+L325+L341+L342+L366+L367+L383+L384+L403+L404+L412+L413+L425+L426+L440+L441+L455+L456</f>
        <v>2122527</v>
      </c>
      <c r="M513" s="131">
        <f>M30+M31+M68+M69+M82+M84+M106+M107+M127+M128+M154+M155+M190+M191+M208+M209+M221+M222+M239+M240+M251+M252+M270+M271+M284+M285+M324+M325+M341+M342+M366+M367+M383+M384+M403+M404+M412+M413+M425+M426+M440+M441+M455+M456</f>
        <v>39991</v>
      </c>
      <c r="N513" s="131">
        <f>N30+N31+N68+N69+N82+N84+N106+N107+N127+N128+N154+N155+N190+N191+N208+N209+N221+N222+N239+N240+N251+N252+N270+N271+N284+N285+N324+N325+N341+N342+N366+N367+N383+N384+N403+N404+N412+N413+N425+N426+N440+N441+N455+N456</f>
        <v>2082536</v>
      </c>
      <c r="O513" s="131">
        <f>O30+O31+O68+O69+O82+O84+O106+O107+O127+O128+O154+O155+O190+O191+O208+O209+O221+O222+O239+O240+O251+O252+O270+O271+O284+O285+O324+O325+O341+O342+O366+O367+O383+O384+O403+O404+O412+O413+O425+O426+O440+O441+O455+O456</f>
        <v>0</v>
      </c>
      <c r="P513" s="127">
        <f t="shared" si="69"/>
        <v>0.9998699832250095</v>
      </c>
    </row>
    <row r="514" spans="1:16" ht="12.75" customHeight="1">
      <c r="A514" s="144"/>
      <c r="B514" s="827" t="s">
        <v>702</v>
      </c>
      <c r="C514" s="828"/>
      <c r="D514" s="828"/>
      <c r="E514" s="131" t="e">
        <f>E122+E235+E266+#REF!+#REF!+E276+E281+E486+E494+#REF!+E335+#REF!+#REF!+#REF!+#REF!</f>
        <v>#REF!</v>
      </c>
      <c r="F514" s="131" t="e">
        <f>F122+F235+F266+#REF!+#REF!+F276+#REF!+F486+F494+F280+#REF!+F335+#REF!+#REF!+#REF!+#REF!</f>
        <v>#REF!</v>
      </c>
      <c r="G514" s="131" t="e">
        <f>G122+G235+G266+#REF!+#REF!+G276+#REF!+G486+G494+G280+#REF!+G335+#REF!+#REF!+#REF!+#REF!</f>
        <v>#REF!</v>
      </c>
      <c r="H514" s="131" t="e">
        <f>H202+H216+H235+H266+H281+#REF!+#REF!+H486+H494+H506+H86+H497+H91+H203+H276+#REF!+H49+#REF!+#REF!+H19+#REF!</f>
        <v>#REF!</v>
      </c>
      <c r="I514" s="131" t="e">
        <f>I202+I216+I235+I266+I281+#REF!+#REF!+I486+I494+I506+I86+I497+I91+I203+I276+#REF!+I49+#REF!+#REF!+I19+#REF!</f>
        <v>#REF!</v>
      </c>
      <c r="J514" s="131" t="e">
        <f>J202+J216+J235+J266+J281+#REF!+#REF!+J486+J494+J506+J86+J497+J91+J203+J276+#REF!+J49+#REF!+#REF!+J19+#REF!</f>
        <v>#REF!</v>
      </c>
      <c r="K514" s="131">
        <f>K19+K49+K79+K93+K134+K202+K204+K216+K235+K266+K276+K281+K305+K336+K357+K358+K486+K494+K506</f>
        <v>1446180</v>
      </c>
      <c r="L514" s="131">
        <f>L19+L49+L79+L93+L134+L202+L204+L216+L235+L266+L276+L281+L305+L336+L357+L358+L486+L494+L506</f>
        <v>1446180</v>
      </c>
      <c r="M514" s="131">
        <f>M19+M49+M79+M93+M134+M202+M204+M216+M235+M266+M276+M281+M305+M336+M357+M358+M486+M494+M506</f>
        <v>10000</v>
      </c>
      <c r="N514" s="131">
        <f>N19+N49+N79+N93+N134+N202+N204+N216+N235+N266+N276+N281+N305+N336+N357+N358+N486+N494+N506</f>
        <v>981794</v>
      </c>
      <c r="O514" s="131">
        <f>O19+O49+O79+O93+O134+O202+O204+O216+O235+O266+O276+O281+O305+O336+O357+O358+O486+O494+O506</f>
        <v>454386</v>
      </c>
      <c r="P514" s="127">
        <f t="shared" si="69"/>
        <v>1</v>
      </c>
    </row>
    <row r="515" spans="1:16" ht="15" customHeight="1">
      <c r="A515" s="144"/>
      <c r="B515" s="827" t="s">
        <v>453</v>
      </c>
      <c r="C515" s="828"/>
      <c r="D515" s="828"/>
      <c r="E515" s="131" t="e">
        <f aca="true" t="shared" si="70" ref="E515:N515">E173</f>
        <v>#REF!</v>
      </c>
      <c r="F515" s="131" t="e">
        <f t="shared" si="70"/>
        <v>#REF!</v>
      </c>
      <c r="G515" s="131" t="e">
        <f t="shared" si="70"/>
        <v>#REF!</v>
      </c>
      <c r="H515" s="131" t="e">
        <f t="shared" si="70"/>
        <v>#REF!</v>
      </c>
      <c r="I515" s="131" t="e">
        <f t="shared" si="70"/>
        <v>#REF!</v>
      </c>
      <c r="J515" s="131" t="e">
        <f t="shared" si="70"/>
        <v>#REF!</v>
      </c>
      <c r="K515" s="131">
        <f t="shared" si="70"/>
        <v>570914</v>
      </c>
      <c r="L515" s="131">
        <f t="shared" si="70"/>
        <v>570854</v>
      </c>
      <c r="M515" s="131">
        <f t="shared" si="70"/>
        <v>0</v>
      </c>
      <c r="N515" s="132">
        <f t="shared" si="70"/>
        <v>570854</v>
      </c>
      <c r="O515" s="132">
        <f>O182</f>
        <v>0</v>
      </c>
      <c r="P515" s="127">
        <f t="shared" si="69"/>
        <v>0.9998949053622788</v>
      </c>
    </row>
    <row r="516" spans="1:16" ht="17.25" customHeight="1" thickBot="1">
      <c r="A516" s="144"/>
      <c r="B516" s="823" t="s">
        <v>454</v>
      </c>
      <c r="C516" s="824"/>
      <c r="D516" s="824"/>
      <c r="E516" s="141" t="e">
        <f>E45+#REF!+#REF!+E124+#REF!+#REF!+#REF!+#REF!+E306+#REF!+#REF!+#REF!+#REF!</f>
        <v>#REF!</v>
      </c>
      <c r="F516" s="141" t="e">
        <f>F45+#REF!+#REF!+F124+#REF!+#REF!+#REF!+#REF!+F306+#REF!+#REF!+#REF!+#REF!</f>
        <v>#REF!</v>
      </c>
      <c r="G516" s="141" t="e">
        <f>G45+#REF!+#REF!+G124+#REF!+#REF!+#REF!+#REF!+G306+#REF!+#REF!+#REF!</f>
        <v>#REF!</v>
      </c>
      <c r="H516" s="141" t="e">
        <f>H45+H76+H124+#REF!+#REF!+#REF!+H306+#REF!+#REF!+#REF!+#REF!+#REF!+H47+#REF!+#REF!+#REF!+H355+H142</f>
        <v>#REF!</v>
      </c>
      <c r="I516" s="141" t="e">
        <f>I45+I76+I124+#REF!+#REF!+#REF!+I306+#REF!+#REF!+#REF!+#REF!+#REF!+I47+#REF!+#REF!+#REF!+I355+I142</f>
        <v>#REF!</v>
      </c>
      <c r="J516" s="141" t="e">
        <f>J45+J76+J124+#REF!+#REF!+#REF!+J306+#REF!+#REF!+#REF!+#REF!+#REF!+J47+#REF!+#REF!+#REF!+J355+J142</f>
        <v>#REF!</v>
      </c>
      <c r="K516" s="141">
        <f>K44+K45+K46+K47+K48+K76+K124+K145+K170+K172+K201+K215+K265+K306+K307+K308+K309+K315+K355+K435+K474</f>
        <v>7044398</v>
      </c>
      <c r="L516" s="141">
        <f>L44+L45+L46+L47+L48+L76+L124+L145+L170+L172+L201+L215+L265+L306+L307+L308+L309+L315+L355+L435+L474</f>
        <v>7041490</v>
      </c>
      <c r="M516" s="141">
        <f>M44+M45+M46+M47+M48+M76+M124+M145+M170+M172+M201+M215+M265+M306+M307+M308+M309+M315+M355+M435+M474</f>
        <v>27495</v>
      </c>
      <c r="N516" s="141">
        <f>N44+N45+N46+N47+N48+N76+N124+N145+N170+N172+N201+N215+N265+N306+N307+N308+N309+N315+N355+N435+N474</f>
        <v>7005115</v>
      </c>
      <c r="O516" s="141">
        <f>O44+O45+O46+O47+O48+O76+O124+O145+O170+O172+O201+O215+O265+O306+O307+O308+O309+O315+O355+O435+O474</f>
        <v>8880</v>
      </c>
      <c r="P516" s="127">
        <f t="shared" si="69"/>
        <v>0.9995871897073391</v>
      </c>
    </row>
    <row r="517" spans="1:16" ht="27" customHeight="1" thickBot="1">
      <c r="A517" s="312"/>
      <c r="B517" s="825" t="s">
        <v>455</v>
      </c>
      <c r="C517" s="826"/>
      <c r="D517" s="826"/>
      <c r="E517" s="378" t="e">
        <f>E45+#REF!+#REF!+E124+#REF!+#REF!+#REF!+#REF!+E306+#REF!+#REF!+#REF!+#REF!</f>
        <v>#REF!</v>
      </c>
      <c r="F517" s="378" t="e">
        <f>F45+#REF!+#REF!+F124+#REF!+#REF!+#REF!+#REF!+F306+#REF!+#REF!+#REF!+#REF!</f>
        <v>#REF!</v>
      </c>
      <c r="G517" s="378" t="e">
        <f>G45+#REF!+#REF!+G124+#REF!+#REF!+#REF!+#REF!+G306+#REF!+#REF!+#REF!+#REF!</f>
        <v>#REF!</v>
      </c>
      <c r="H517" s="378" t="e">
        <f aca="true" t="shared" si="71" ref="H517:N517">H516</f>
        <v>#REF!</v>
      </c>
      <c r="I517" s="378" t="e">
        <f t="shared" si="71"/>
        <v>#REF!</v>
      </c>
      <c r="J517" s="378" t="e">
        <f t="shared" si="71"/>
        <v>#REF!</v>
      </c>
      <c r="K517" s="378">
        <f t="shared" si="71"/>
        <v>7044398</v>
      </c>
      <c r="L517" s="378">
        <f t="shared" si="71"/>
        <v>7041490</v>
      </c>
      <c r="M517" s="378">
        <f t="shared" si="71"/>
        <v>27495</v>
      </c>
      <c r="N517" s="378">
        <f t="shared" si="71"/>
        <v>7005115</v>
      </c>
      <c r="O517" s="378">
        <f>O48</f>
        <v>8880</v>
      </c>
      <c r="P517" s="377">
        <f t="shared" si="69"/>
        <v>0.9995871897073391</v>
      </c>
    </row>
    <row r="518" spans="1:15" ht="14.25" customHeight="1">
      <c r="A518" s="829"/>
      <c r="B518" s="830"/>
      <c r="C518" s="830"/>
      <c r="D518" s="147"/>
      <c r="E518" s="147"/>
      <c r="F518" s="147"/>
      <c r="G518" s="147"/>
      <c r="H518" s="147"/>
      <c r="I518" s="147" t="s">
        <v>456</v>
      </c>
      <c r="J518" s="118" t="s">
        <v>198</v>
      </c>
      <c r="M518" s="147"/>
      <c r="N518" s="147"/>
      <c r="O518" s="148"/>
    </row>
    <row r="519" spans="1:10" ht="12.75" customHeight="1" hidden="1">
      <c r="A519" s="831"/>
      <c r="B519" s="831"/>
      <c r="C519" s="831"/>
      <c r="I519" s="118" t="s">
        <v>457</v>
      </c>
      <c r="J519" s="147"/>
    </row>
    <row r="520" spans="5:12" ht="12.75">
      <c r="E520" s="149"/>
      <c r="F520" s="149"/>
      <c r="G520" s="149"/>
      <c r="H520" s="149"/>
      <c r="I520" s="149"/>
      <c r="J520" s="147"/>
      <c r="K520" s="149"/>
      <c r="L520" s="149"/>
    </row>
    <row r="521" ht="12.75">
      <c r="J521" s="147"/>
    </row>
    <row r="522" ht="12.75">
      <c r="J522" s="147"/>
    </row>
  </sheetData>
  <mergeCells count="29">
    <mergeCell ref="A518:C519"/>
    <mergeCell ref="B4:B7"/>
    <mergeCell ref="A4:A7"/>
    <mergeCell ref="J5:J7"/>
    <mergeCell ref="I4:J4"/>
    <mergeCell ref="H4:H7"/>
    <mergeCell ref="A12:A13"/>
    <mergeCell ref="B510:C510"/>
    <mergeCell ref="I5:I7"/>
    <mergeCell ref="D5:D7"/>
    <mergeCell ref="B517:D517"/>
    <mergeCell ref="B512:D512"/>
    <mergeCell ref="B513:D513"/>
    <mergeCell ref="B515:D515"/>
    <mergeCell ref="B514:D514"/>
    <mergeCell ref="B511:D511"/>
    <mergeCell ref="B516:D516"/>
    <mergeCell ref="K4:K7"/>
    <mergeCell ref="F5:F7"/>
    <mergeCell ref="P4:P7"/>
    <mergeCell ref="M1:O1"/>
    <mergeCell ref="C4:C7"/>
    <mergeCell ref="P2:V2"/>
    <mergeCell ref="B2:O2"/>
    <mergeCell ref="C3:O3"/>
    <mergeCell ref="G5:G7"/>
    <mergeCell ref="E5:E7"/>
    <mergeCell ref="L4:L7"/>
    <mergeCell ref="M4:O6"/>
  </mergeCells>
  <printOptions/>
  <pageMargins left="0.7874015748031497" right="0.3937007874015748" top="0.3937007874015748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L120"/>
  <sheetViews>
    <sheetView workbookViewId="0" topLeftCell="A106">
      <selection activeCell="E121" sqref="E121"/>
    </sheetView>
  </sheetViews>
  <sheetFormatPr defaultColWidth="9.00390625" defaultRowHeight="12.75"/>
  <cols>
    <col min="1" max="1" width="6.375" style="118" customWidth="1"/>
    <col min="2" max="2" width="7.25390625" style="118" customWidth="1"/>
    <col min="3" max="3" width="4.875" style="118" customWidth="1"/>
    <col min="4" max="4" width="30.00390625" style="118" customWidth="1"/>
    <col min="5" max="7" width="8.125" style="118" customWidth="1"/>
    <col min="8" max="9" width="7.875" style="118" customWidth="1"/>
    <col min="10" max="10" width="7.625" style="118" customWidth="1"/>
  </cols>
  <sheetData>
    <row r="1" spans="5:10" ht="20.25" customHeight="1">
      <c r="E1" s="811" t="s">
        <v>458</v>
      </c>
      <c r="F1" s="811"/>
      <c r="G1" s="811"/>
      <c r="H1" s="811"/>
      <c r="I1" s="811"/>
      <c r="J1" s="811"/>
    </row>
    <row r="2" spans="1:10" ht="31.5" customHeight="1" thickBot="1">
      <c r="A2" s="857" t="s">
        <v>459</v>
      </c>
      <c r="B2" s="857"/>
      <c r="C2" s="857"/>
      <c r="D2" s="857"/>
      <c r="E2" s="857"/>
      <c r="F2" s="857"/>
      <c r="G2" s="857"/>
      <c r="H2" s="857"/>
      <c r="I2" s="857"/>
      <c r="J2" s="857"/>
    </row>
    <row r="3" spans="1:10" ht="12.75">
      <c r="A3" s="847" t="s">
        <v>3</v>
      </c>
      <c r="B3" s="848"/>
      <c r="C3" s="848"/>
      <c r="D3" s="860" t="s">
        <v>460</v>
      </c>
      <c r="E3" s="847" t="s">
        <v>461</v>
      </c>
      <c r="F3" s="848"/>
      <c r="G3" s="849"/>
      <c r="H3" s="847" t="s">
        <v>462</v>
      </c>
      <c r="I3" s="848"/>
      <c r="J3" s="849"/>
    </row>
    <row r="4" spans="1:10" ht="12.75" customHeight="1">
      <c r="A4" s="858"/>
      <c r="B4" s="859"/>
      <c r="C4" s="859"/>
      <c r="D4" s="861"/>
      <c r="E4" s="855" t="s">
        <v>710</v>
      </c>
      <c r="F4" s="843" t="s">
        <v>463</v>
      </c>
      <c r="G4" s="845" t="s">
        <v>464</v>
      </c>
      <c r="H4" s="855" t="s">
        <v>710</v>
      </c>
      <c r="I4" s="843" t="s">
        <v>463</v>
      </c>
      <c r="J4" s="845" t="s">
        <v>464</v>
      </c>
    </row>
    <row r="5" spans="1:10" ht="54" customHeight="1" thickBot="1">
      <c r="A5" s="151" t="s">
        <v>465</v>
      </c>
      <c r="B5" s="152" t="s">
        <v>20</v>
      </c>
      <c r="C5" s="152" t="s">
        <v>21</v>
      </c>
      <c r="D5" s="862"/>
      <c r="E5" s="856"/>
      <c r="F5" s="844"/>
      <c r="G5" s="846"/>
      <c r="H5" s="856"/>
      <c r="I5" s="844"/>
      <c r="J5" s="846"/>
    </row>
    <row r="6" spans="1:10" ht="13.5" thickBot="1">
      <c r="A6" s="153">
        <v>1</v>
      </c>
      <c r="B6" s="153">
        <v>2</v>
      </c>
      <c r="C6" s="153">
        <v>3</v>
      </c>
      <c r="D6" s="154">
        <v>4</v>
      </c>
      <c r="E6" s="155">
        <v>5</v>
      </c>
      <c r="F6" s="156">
        <v>6</v>
      </c>
      <c r="G6" s="157">
        <v>7</v>
      </c>
      <c r="H6" s="155">
        <v>8</v>
      </c>
      <c r="I6" s="157">
        <v>9</v>
      </c>
      <c r="J6" s="158">
        <v>10</v>
      </c>
    </row>
    <row r="7" spans="1:11" ht="18" customHeight="1" hidden="1">
      <c r="A7" s="159" t="s">
        <v>466</v>
      </c>
      <c r="B7" s="160"/>
      <c r="C7" s="160"/>
      <c r="D7" s="160" t="s">
        <v>467</v>
      </c>
      <c r="E7" s="161">
        <f>E8+E9+E10+E11+E12+E13</f>
        <v>191000</v>
      </c>
      <c r="F7" s="161">
        <f>F8+F9+F10+F11+F12+F13</f>
        <v>164658</v>
      </c>
      <c r="G7" s="162">
        <f>F7/E7</f>
        <v>0.8620837696335079</v>
      </c>
      <c r="H7" s="161">
        <v>0</v>
      </c>
      <c r="I7" s="163">
        <v>0</v>
      </c>
      <c r="J7" s="164">
        <v>0</v>
      </c>
      <c r="K7" t="s">
        <v>468</v>
      </c>
    </row>
    <row r="8" spans="1:10" ht="18" customHeight="1" hidden="1">
      <c r="A8" s="134" t="s">
        <v>24</v>
      </c>
      <c r="B8" s="134" t="s">
        <v>469</v>
      </c>
      <c r="C8" s="134" t="s">
        <v>470</v>
      </c>
      <c r="D8" s="165"/>
      <c r="E8" s="166">
        <v>0</v>
      </c>
      <c r="F8" s="132">
        <v>1095</v>
      </c>
      <c r="G8" s="167">
        <v>0</v>
      </c>
      <c r="H8" s="166">
        <v>0</v>
      </c>
      <c r="I8" s="132">
        <v>0</v>
      </c>
      <c r="J8" s="168">
        <v>0</v>
      </c>
    </row>
    <row r="9" spans="1:10" ht="12.75" hidden="1">
      <c r="A9" s="134" t="s">
        <v>24</v>
      </c>
      <c r="B9" s="134" t="s">
        <v>29</v>
      </c>
      <c r="C9" s="134" t="s">
        <v>470</v>
      </c>
      <c r="D9" s="169" t="s">
        <v>28</v>
      </c>
      <c r="E9" s="166">
        <v>4000</v>
      </c>
      <c r="F9" s="132">
        <v>4823</v>
      </c>
      <c r="G9" s="167">
        <f>F9/E9</f>
        <v>1.20575</v>
      </c>
      <c r="H9" s="166">
        <v>0</v>
      </c>
      <c r="I9" s="132">
        <v>0</v>
      </c>
      <c r="J9" s="168">
        <v>0</v>
      </c>
    </row>
    <row r="10" spans="1:10" ht="12.75" hidden="1">
      <c r="A10" s="145">
        <v>700</v>
      </c>
      <c r="B10" s="145">
        <v>70005</v>
      </c>
      <c r="C10" s="145">
        <v>235</v>
      </c>
      <c r="D10" s="170" t="s">
        <v>265</v>
      </c>
      <c r="E10" s="166">
        <v>180000</v>
      </c>
      <c r="F10" s="132">
        <v>156220</v>
      </c>
      <c r="G10" s="167">
        <f>F10/E10</f>
        <v>0.8678888888888889</v>
      </c>
      <c r="H10" s="166">
        <v>0</v>
      </c>
      <c r="I10" s="132">
        <v>0</v>
      </c>
      <c r="J10" s="168">
        <v>0</v>
      </c>
    </row>
    <row r="11" spans="1:10" ht="12.75" hidden="1">
      <c r="A11" s="145">
        <v>710</v>
      </c>
      <c r="B11" s="145">
        <v>71015</v>
      </c>
      <c r="C11" s="145">
        <v>235</v>
      </c>
      <c r="D11" s="170" t="s">
        <v>76</v>
      </c>
      <c r="E11" s="171">
        <v>0</v>
      </c>
      <c r="F11" s="172">
        <v>75</v>
      </c>
      <c r="G11" s="167">
        <v>0</v>
      </c>
      <c r="H11" s="171">
        <v>0</v>
      </c>
      <c r="I11" s="172">
        <v>0</v>
      </c>
      <c r="J11" s="173">
        <v>0</v>
      </c>
    </row>
    <row r="12" spans="1:10" ht="12.75" hidden="1">
      <c r="A12" s="145">
        <v>750</v>
      </c>
      <c r="B12" s="145">
        <v>75011</v>
      </c>
      <c r="C12" s="145">
        <v>235</v>
      </c>
      <c r="D12" s="170" t="s">
        <v>286</v>
      </c>
      <c r="E12" s="171">
        <v>0</v>
      </c>
      <c r="F12" s="172">
        <v>3</v>
      </c>
      <c r="G12" s="167">
        <v>0</v>
      </c>
      <c r="H12" s="171">
        <v>0</v>
      </c>
      <c r="I12" s="172">
        <v>0</v>
      </c>
      <c r="J12" s="173">
        <v>0</v>
      </c>
    </row>
    <row r="13" spans="1:10" ht="13.5" hidden="1" thickBot="1">
      <c r="A13" s="145">
        <v>754</v>
      </c>
      <c r="B13" s="145">
        <v>75411</v>
      </c>
      <c r="C13" s="145">
        <v>235</v>
      </c>
      <c r="D13" s="169" t="s">
        <v>471</v>
      </c>
      <c r="E13" s="174">
        <v>7000</v>
      </c>
      <c r="F13" s="175">
        <v>2442</v>
      </c>
      <c r="G13" s="167">
        <f>F13/E13</f>
        <v>0.34885714285714287</v>
      </c>
      <c r="H13" s="174">
        <v>0</v>
      </c>
      <c r="I13" s="175">
        <v>0</v>
      </c>
      <c r="J13" s="176">
        <v>0</v>
      </c>
    </row>
    <row r="14" spans="1:10" ht="12.75" hidden="1">
      <c r="A14" s="177">
        <v>851</v>
      </c>
      <c r="B14" s="177">
        <v>85132</v>
      </c>
      <c r="C14" s="177">
        <v>235</v>
      </c>
      <c r="D14" s="177" t="s">
        <v>472</v>
      </c>
      <c r="E14" s="178">
        <v>0</v>
      </c>
      <c r="F14" s="178"/>
      <c r="G14" s="178"/>
      <c r="H14" s="178">
        <v>0</v>
      </c>
      <c r="I14" s="178"/>
      <c r="J14" s="178"/>
    </row>
    <row r="15" spans="1:10" ht="13.5" hidden="1" thickBot="1">
      <c r="A15" s="179" t="s">
        <v>473</v>
      </c>
      <c r="B15" s="850" t="s">
        <v>474</v>
      </c>
      <c r="C15" s="850"/>
      <c r="D15" s="850"/>
      <c r="E15" s="851"/>
      <c r="F15" s="851"/>
      <c r="G15" s="851"/>
      <c r="H15" s="851"/>
      <c r="I15" s="180"/>
      <c r="J15" s="181"/>
    </row>
    <row r="16" spans="1:10" ht="22.5">
      <c r="A16" s="380" t="s">
        <v>24</v>
      </c>
      <c r="B16" s="380" t="s">
        <v>27</v>
      </c>
      <c r="C16" s="381" t="s">
        <v>475</v>
      </c>
      <c r="D16" s="382" t="s">
        <v>26</v>
      </c>
      <c r="E16" s="383">
        <f>'Z1.1'!S21</f>
        <v>40000</v>
      </c>
      <c r="F16" s="384">
        <f>'Z1.1'!T21</f>
        <v>40000</v>
      </c>
      <c r="G16" s="385">
        <f>F16/E16</f>
        <v>1</v>
      </c>
      <c r="H16" s="383">
        <f>H17</f>
        <v>40000</v>
      </c>
      <c r="I16" s="384">
        <f>I17</f>
        <v>40000</v>
      </c>
      <c r="J16" s="386">
        <f aca="true" t="shared" si="0" ref="J16:J54">I16/H16</f>
        <v>1</v>
      </c>
    </row>
    <row r="17" spans="1:10" ht="12.75">
      <c r="A17" s="182"/>
      <c r="B17" s="182"/>
      <c r="C17" s="140" t="s">
        <v>228</v>
      </c>
      <c r="D17" s="183" t="s">
        <v>290</v>
      </c>
      <c r="E17" s="184">
        <v>0</v>
      </c>
      <c r="F17" s="131">
        <v>0</v>
      </c>
      <c r="G17" s="131">
        <v>0</v>
      </c>
      <c r="H17" s="184">
        <f>'1.2'!K17</f>
        <v>40000</v>
      </c>
      <c r="I17" s="131">
        <f>'1.2'!M17</f>
        <v>40000</v>
      </c>
      <c r="J17" s="167">
        <f t="shared" si="0"/>
        <v>1</v>
      </c>
    </row>
    <row r="18" spans="1:10" ht="12.75" hidden="1">
      <c r="A18" s="186"/>
      <c r="B18" s="187"/>
      <c r="C18" s="133">
        <v>4430</v>
      </c>
      <c r="D18" s="188" t="s">
        <v>220</v>
      </c>
      <c r="E18" s="184">
        <v>0</v>
      </c>
      <c r="F18" s="131">
        <v>0</v>
      </c>
      <c r="G18" s="189">
        <v>0</v>
      </c>
      <c r="H18" s="184">
        <v>0</v>
      </c>
      <c r="I18" s="131"/>
      <c r="J18" s="185" t="e">
        <f t="shared" si="0"/>
        <v>#DIV/0!</v>
      </c>
    </row>
    <row r="19" spans="1:10" ht="12.75" hidden="1">
      <c r="A19" s="190"/>
      <c r="B19" s="182"/>
      <c r="C19" s="133">
        <v>4440</v>
      </c>
      <c r="D19" s="188" t="s">
        <v>222</v>
      </c>
      <c r="E19" s="184">
        <v>0</v>
      </c>
      <c r="F19" s="131">
        <v>0</v>
      </c>
      <c r="G19" s="189">
        <v>0</v>
      </c>
      <c r="H19" s="184">
        <v>0</v>
      </c>
      <c r="I19" s="131"/>
      <c r="J19" s="185" t="e">
        <f t="shared" si="0"/>
        <v>#DIV/0!</v>
      </c>
    </row>
    <row r="20" spans="1:10" ht="15.75" customHeight="1" hidden="1">
      <c r="A20" s="126" t="s">
        <v>39</v>
      </c>
      <c r="B20" s="126" t="s">
        <v>234</v>
      </c>
      <c r="C20" s="129" t="s">
        <v>476</v>
      </c>
      <c r="D20" s="191" t="s">
        <v>235</v>
      </c>
      <c r="E20" s="192">
        <v>0</v>
      </c>
      <c r="F20" s="138"/>
      <c r="G20" s="193" t="e">
        <f>F20/E20</f>
        <v>#DIV/0!</v>
      </c>
      <c r="H20" s="192">
        <f>H21</f>
        <v>0</v>
      </c>
      <c r="I20" s="138"/>
      <c r="J20" s="185" t="e">
        <f t="shared" si="0"/>
        <v>#DIV/0!</v>
      </c>
    </row>
    <row r="21" spans="1:10" ht="15" customHeight="1" hidden="1">
      <c r="A21" s="140"/>
      <c r="B21" s="140"/>
      <c r="C21" s="140"/>
      <c r="D21" s="146" t="s">
        <v>356</v>
      </c>
      <c r="E21" s="184"/>
      <c r="F21" s="131"/>
      <c r="G21" s="193" t="e">
        <f>F21/E21</f>
        <v>#DIV/0!</v>
      </c>
      <c r="H21" s="184">
        <v>0</v>
      </c>
      <c r="I21" s="131"/>
      <c r="J21" s="185" t="e">
        <f t="shared" si="0"/>
        <v>#DIV/0!</v>
      </c>
    </row>
    <row r="22" spans="1:10" ht="22.5">
      <c r="A22" s="381" t="s">
        <v>64</v>
      </c>
      <c r="B22" s="381" t="s">
        <v>66</v>
      </c>
      <c r="C22" s="381" t="s">
        <v>475</v>
      </c>
      <c r="D22" s="382" t="s">
        <v>265</v>
      </c>
      <c r="E22" s="387">
        <f>'Z1.1'!S51</f>
        <v>55000</v>
      </c>
      <c r="F22" s="388">
        <f>'Z1.1'!T51</f>
        <v>55000</v>
      </c>
      <c r="G22" s="389">
        <f>F22/E22</f>
        <v>1</v>
      </c>
      <c r="H22" s="387">
        <f>H23+H24+H25+H26+H27</f>
        <v>55000</v>
      </c>
      <c r="I22" s="387">
        <f>I23+I24+I25+I26+I27</f>
        <v>55000</v>
      </c>
      <c r="J22" s="390">
        <f t="shared" si="0"/>
        <v>1</v>
      </c>
    </row>
    <row r="23" spans="1:10" ht="12.75">
      <c r="A23" s="464"/>
      <c r="B23" s="464"/>
      <c r="C23" s="465" t="s">
        <v>665</v>
      </c>
      <c r="D23" s="466" t="s">
        <v>666</v>
      </c>
      <c r="E23" s="469">
        <v>0</v>
      </c>
      <c r="F23" s="441">
        <v>0</v>
      </c>
      <c r="G23" s="470">
        <v>0</v>
      </c>
      <c r="H23" s="469">
        <v>800</v>
      </c>
      <c r="I23" s="467">
        <f>'1.2'!M52</f>
        <v>800</v>
      </c>
      <c r="J23" s="468">
        <f t="shared" si="0"/>
        <v>1</v>
      </c>
    </row>
    <row r="24" spans="1:10" ht="12.75">
      <c r="A24" s="140"/>
      <c r="B24" s="140"/>
      <c r="C24" s="140" t="s">
        <v>250</v>
      </c>
      <c r="D24" s="183" t="s">
        <v>266</v>
      </c>
      <c r="E24" s="184">
        <v>0</v>
      </c>
      <c r="F24" s="131">
        <v>0</v>
      </c>
      <c r="G24" s="131">
        <v>0</v>
      </c>
      <c r="H24" s="184">
        <f>'1.2'!K53</f>
        <v>2993</v>
      </c>
      <c r="I24" s="131">
        <f>'1.2'!M53</f>
        <v>2993</v>
      </c>
      <c r="J24" s="167">
        <f t="shared" si="0"/>
        <v>1</v>
      </c>
    </row>
    <row r="25" spans="1:10" ht="12.75">
      <c r="A25" s="129"/>
      <c r="B25" s="129"/>
      <c r="C25" s="140" t="s">
        <v>228</v>
      </c>
      <c r="D25" s="183" t="s">
        <v>290</v>
      </c>
      <c r="E25" s="184">
        <v>0</v>
      </c>
      <c r="F25" s="131">
        <v>0</v>
      </c>
      <c r="G25" s="131">
        <v>0</v>
      </c>
      <c r="H25" s="184">
        <f>'1.2'!M54</f>
        <v>38508</v>
      </c>
      <c r="I25" s="131">
        <f>'1.2'!M54</f>
        <v>38508</v>
      </c>
      <c r="J25" s="167">
        <f t="shared" si="0"/>
        <v>1</v>
      </c>
    </row>
    <row r="26" spans="1:10" ht="12.75">
      <c r="A26" s="129"/>
      <c r="B26" s="129"/>
      <c r="C26" s="140" t="s">
        <v>256</v>
      </c>
      <c r="D26" s="183" t="s">
        <v>257</v>
      </c>
      <c r="E26" s="184">
        <v>0</v>
      </c>
      <c r="F26" s="131">
        <v>0</v>
      </c>
      <c r="G26" s="131">
        <v>0</v>
      </c>
      <c r="H26" s="184">
        <f>'1.2'!M56</f>
        <v>8119</v>
      </c>
      <c r="I26" s="131">
        <f>'1.2'!M56</f>
        <v>8119</v>
      </c>
      <c r="J26" s="167">
        <f t="shared" si="0"/>
        <v>1</v>
      </c>
    </row>
    <row r="27" spans="1:10" ht="12.75">
      <c r="A27" s="129"/>
      <c r="B27" s="129"/>
      <c r="C27" s="140" t="s">
        <v>267</v>
      </c>
      <c r="D27" s="183" t="s">
        <v>477</v>
      </c>
      <c r="E27" s="184">
        <v>0</v>
      </c>
      <c r="F27" s="131">
        <v>0</v>
      </c>
      <c r="G27" s="131">
        <v>0</v>
      </c>
      <c r="H27" s="184">
        <f>'1.2'!M57</f>
        <v>4580</v>
      </c>
      <c r="I27" s="131">
        <f>'1.2'!M57</f>
        <v>4580</v>
      </c>
      <c r="J27" s="167">
        <f t="shared" si="0"/>
        <v>1</v>
      </c>
    </row>
    <row r="28" spans="1:10" ht="22.5">
      <c r="A28" s="381" t="s">
        <v>272</v>
      </c>
      <c r="B28" s="381" t="s">
        <v>274</v>
      </c>
      <c r="C28" s="381" t="s">
        <v>475</v>
      </c>
      <c r="D28" s="382" t="s">
        <v>73</v>
      </c>
      <c r="E28" s="387">
        <f>'Z1.1'!S54</f>
        <v>42000</v>
      </c>
      <c r="F28" s="388">
        <f>'Z1.1'!T54</f>
        <v>42000</v>
      </c>
      <c r="G28" s="389">
        <f>F28/E28</f>
        <v>1</v>
      </c>
      <c r="H28" s="387">
        <f>H29</f>
        <v>42000</v>
      </c>
      <c r="I28" s="388">
        <f>I29</f>
        <v>42000</v>
      </c>
      <c r="J28" s="390">
        <f t="shared" si="0"/>
        <v>1</v>
      </c>
    </row>
    <row r="29" spans="1:10" ht="12.75">
      <c r="A29" s="129"/>
      <c r="B29" s="129"/>
      <c r="C29" s="140" t="s">
        <v>228</v>
      </c>
      <c r="D29" s="183" t="s">
        <v>290</v>
      </c>
      <c r="E29" s="184">
        <v>0</v>
      </c>
      <c r="F29" s="131">
        <v>0</v>
      </c>
      <c r="G29" s="131">
        <v>0</v>
      </c>
      <c r="H29" s="184">
        <f>'1.2'!K61</f>
        <v>42000</v>
      </c>
      <c r="I29" s="131">
        <f>'1.2'!M61</f>
        <v>42000</v>
      </c>
      <c r="J29" s="167">
        <f t="shared" si="0"/>
        <v>1</v>
      </c>
    </row>
    <row r="30" spans="1:10" ht="22.5">
      <c r="A30" s="381" t="s">
        <v>272</v>
      </c>
      <c r="B30" s="381" t="s">
        <v>275</v>
      </c>
      <c r="C30" s="381" t="s">
        <v>475</v>
      </c>
      <c r="D30" s="382" t="s">
        <v>74</v>
      </c>
      <c r="E30" s="387">
        <f>'Z1.1'!S56</f>
        <v>10000</v>
      </c>
      <c r="F30" s="388">
        <f>'Z1.1'!T56</f>
        <v>10000</v>
      </c>
      <c r="G30" s="389">
        <f>F30/E30</f>
        <v>1</v>
      </c>
      <c r="H30" s="387">
        <f>H31</f>
        <v>10000</v>
      </c>
      <c r="I30" s="388">
        <f>I31</f>
        <v>10000</v>
      </c>
      <c r="J30" s="390">
        <f t="shared" si="0"/>
        <v>1</v>
      </c>
    </row>
    <row r="31" spans="1:10" ht="12.75" customHeight="1">
      <c r="A31" s="140"/>
      <c r="B31" s="140"/>
      <c r="C31" s="140" t="s">
        <v>228</v>
      </c>
      <c r="D31" s="183" t="s">
        <v>290</v>
      </c>
      <c r="E31" s="184">
        <v>0</v>
      </c>
      <c r="F31" s="131">
        <v>0</v>
      </c>
      <c r="G31" s="131">
        <v>0</v>
      </c>
      <c r="H31" s="184">
        <f>'1.2'!K63</f>
        <v>10000</v>
      </c>
      <c r="I31" s="131">
        <f>'1.2'!M63</f>
        <v>10000</v>
      </c>
      <c r="J31" s="167">
        <f t="shared" si="0"/>
        <v>1</v>
      </c>
    </row>
    <row r="32" spans="1:10" ht="15" customHeight="1">
      <c r="A32" s="381" t="s">
        <v>272</v>
      </c>
      <c r="B32" s="381" t="s">
        <v>276</v>
      </c>
      <c r="C32" s="381" t="s">
        <v>475</v>
      </c>
      <c r="D32" s="391" t="s">
        <v>76</v>
      </c>
      <c r="E32" s="387">
        <f>'Z1.1'!S59</f>
        <v>151952</v>
      </c>
      <c r="F32" s="388">
        <f>'Z1.1'!T59</f>
        <v>151952</v>
      </c>
      <c r="G32" s="389">
        <f>F32/E32</f>
        <v>1</v>
      </c>
      <c r="H32" s="387">
        <f>H33+H34+H35+H36+H37+H38+H39+H40+H41+H42</f>
        <v>151952</v>
      </c>
      <c r="I32" s="387">
        <f>I33+I34+I35+I36+I37+I38+I39+I40+I41+I42</f>
        <v>151952</v>
      </c>
      <c r="J32" s="390">
        <f t="shared" si="0"/>
        <v>1</v>
      </c>
    </row>
    <row r="33" spans="1:10" ht="12.75" customHeight="1">
      <c r="A33" s="140"/>
      <c r="B33" s="129"/>
      <c r="C33" s="140" t="s">
        <v>238</v>
      </c>
      <c r="D33" s="183" t="s">
        <v>377</v>
      </c>
      <c r="E33" s="184">
        <v>0</v>
      </c>
      <c r="F33" s="131">
        <v>0</v>
      </c>
      <c r="G33" s="131">
        <v>0</v>
      </c>
      <c r="H33" s="184">
        <f>'1.2'!K65</f>
        <v>45960</v>
      </c>
      <c r="I33" s="131">
        <f>'1.2'!L65</f>
        <v>45960</v>
      </c>
      <c r="J33" s="167">
        <f t="shared" si="0"/>
        <v>1</v>
      </c>
    </row>
    <row r="34" spans="1:10" ht="12.75" customHeight="1">
      <c r="A34" s="140"/>
      <c r="B34" s="129"/>
      <c r="C34" s="140" t="s">
        <v>278</v>
      </c>
      <c r="D34" s="183" t="s">
        <v>478</v>
      </c>
      <c r="E34" s="184">
        <v>0</v>
      </c>
      <c r="F34" s="131">
        <v>0</v>
      </c>
      <c r="G34" s="131">
        <v>0</v>
      </c>
      <c r="H34" s="184">
        <f>'1.2'!K66</f>
        <v>60920</v>
      </c>
      <c r="I34" s="131">
        <f>'1.2'!L66</f>
        <v>60920</v>
      </c>
      <c r="J34" s="167">
        <f t="shared" si="0"/>
        <v>1</v>
      </c>
    </row>
    <row r="35" spans="1:10" ht="12" customHeight="1">
      <c r="A35" s="194"/>
      <c r="B35" s="195"/>
      <c r="C35" s="140" t="s">
        <v>240</v>
      </c>
      <c r="D35" s="146" t="s">
        <v>370</v>
      </c>
      <c r="E35" s="184">
        <v>0</v>
      </c>
      <c r="F35" s="131">
        <v>0</v>
      </c>
      <c r="G35" s="131">
        <v>0</v>
      </c>
      <c r="H35" s="184">
        <f>'1.2'!K67</f>
        <v>8422</v>
      </c>
      <c r="I35" s="131">
        <f>'1.2'!L67</f>
        <v>8422</v>
      </c>
      <c r="J35" s="167">
        <f t="shared" si="0"/>
        <v>1</v>
      </c>
    </row>
    <row r="36" spans="1:10" ht="13.5" customHeight="1">
      <c r="A36" s="186"/>
      <c r="B36" s="196"/>
      <c r="C36" s="197" t="s">
        <v>242</v>
      </c>
      <c r="D36" s="183" t="s">
        <v>288</v>
      </c>
      <c r="E36" s="184">
        <v>0</v>
      </c>
      <c r="F36" s="131">
        <v>0</v>
      </c>
      <c r="G36" s="131">
        <v>0</v>
      </c>
      <c r="H36" s="184">
        <f>'1.2'!K68</f>
        <v>20500</v>
      </c>
      <c r="I36" s="131">
        <f>'1.2'!L68</f>
        <v>20500</v>
      </c>
      <c r="J36" s="167">
        <f t="shared" si="0"/>
        <v>1</v>
      </c>
    </row>
    <row r="37" spans="1:10" ht="12.75" customHeight="1">
      <c r="A37" s="186"/>
      <c r="B37" s="196"/>
      <c r="C37" s="197" t="s">
        <v>244</v>
      </c>
      <c r="D37" s="183" t="s">
        <v>245</v>
      </c>
      <c r="E37" s="184">
        <v>0</v>
      </c>
      <c r="F37" s="131">
        <v>0</v>
      </c>
      <c r="G37" s="131">
        <v>0</v>
      </c>
      <c r="H37" s="184">
        <f>'1.2'!K69</f>
        <v>2761</v>
      </c>
      <c r="I37" s="131">
        <f>'1.2'!L69</f>
        <v>2761</v>
      </c>
      <c r="J37" s="167">
        <f t="shared" si="0"/>
        <v>1</v>
      </c>
    </row>
    <row r="38" spans="1:10" ht="13.5" customHeight="1">
      <c r="A38" s="186"/>
      <c r="B38" s="196"/>
      <c r="C38" s="140" t="s">
        <v>225</v>
      </c>
      <c r="D38" s="146" t="s">
        <v>226</v>
      </c>
      <c r="E38" s="184">
        <v>0</v>
      </c>
      <c r="F38" s="131">
        <v>0</v>
      </c>
      <c r="G38" s="131">
        <v>0</v>
      </c>
      <c r="H38" s="184">
        <f>'1.2'!K71</f>
        <v>4371</v>
      </c>
      <c r="I38" s="131">
        <f>'1.2'!M71</f>
        <v>4371</v>
      </c>
      <c r="J38" s="167">
        <f t="shared" si="0"/>
        <v>1</v>
      </c>
    </row>
    <row r="39" spans="1:10" ht="12.75" customHeight="1">
      <c r="A39" s="186"/>
      <c r="B39" s="196"/>
      <c r="C39" s="140" t="s">
        <v>228</v>
      </c>
      <c r="D39" s="146" t="s">
        <v>290</v>
      </c>
      <c r="E39" s="184">
        <v>0</v>
      </c>
      <c r="F39" s="131">
        <v>0</v>
      </c>
      <c r="G39" s="131">
        <v>0</v>
      </c>
      <c r="H39" s="184">
        <f>'1.2'!K72</f>
        <v>4550</v>
      </c>
      <c r="I39" s="131">
        <f>'1.2'!M72</f>
        <v>4550</v>
      </c>
      <c r="J39" s="167">
        <f t="shared" si="0"/>
        <v>1</v>
      </c>
    </row>
    <row r="40" spans="1:10" ht="13.5" customHeight="1">
      <c r="A40" s="186"/>
      <c r="B40" s="196"/>
      <c r="C40" s="140" t="s">
        <v>254</v>
      </c>
      <c r="D40" s="146" t="s">
        <v>255</v>
      </c>
      <c r="E40" s="184">
        <v>0</v>
      </c>
      <c r="F40" s="131">
        <v>0</v>
      </c>
      <c r="G40" s="131">
        <v>0</v>
      </c>
      <c r="H40" s="184">
        <f>'1.2'!K73</f>
        <v>0</v>
      </c>
      <c r="I40" s="131">
        <f>'1.2'!M73</f>
        <v>0</v>
      </c>
      <c r="J40" s="167">
        <v>0</v>
      </c>
    </row>
    <row r="41" spans="1:10" ht="13.5" customHeight="1">
      <c r="A41" s="186"/>
      <c r="B41" s="196"/>
      <c r="C41" s="140" t="s">
        <v>219</v>
      </c>
      <c r="D41" s="146" t="s">
        <v>220</v>
      </c>
      <c r="E41" s="184">
        <v>0</v>
      </c>
      <c r="F41" s="131">
        <v>0</v>
      </c>
      <c r="G41" s="131">
        <v>0</v>
      </c>
      <c r="H41" s="184">
        <f>'1.2'!K74</f>
        <v>1535</v>
      </c>
      <c r="I41" s="131">
        <f>'1.2'!M74</f>
        <v>1535</v>
      </c>
      <c r="J41" s="167">
        <f t="shared" si="0"/>
        <v>1</v>
      </c>
    </row>
    <row r="42" spans="1:10" ht="13.5" customHeight="1">
      <c r="A42" s="190"/>
      <c r="B42" s="126"/>
      <c r="C42" s="140" t="s">
        <v>221</v>
      </c>
      <c r="D42" s="146" t="s">
        <v>222</v>
      </c>
      <c r="E42" s="184">
        <v>0</v>
      </c>
      <c r="F42" s="131">
        <v>0</v>
      </c>
      <c r="G42" s="131">
        <v>0</v>
      </c>
      <c r="H42" s="184">
        <f>'1.2'!K75</f>
        <v>2933</v>
      </c>
      <c r="I42" s="131">
        <f>'1.2'!M75</f>
        <v>2933</v>
      </c>
      <c r="J42" s="167">
        <f t="shared" si="0"/>
        <v>1</v>
      </c>
    </row>
    <row r="43" spans="1:10" ht="15.75" customHeight="1">
      <c r="A43" s="381" t="s">
        <v>272</v>
      </c>
      <c r="B43" s="381" t="s">
        <v>276</v>
      </c>
      <c r="C43" s="381" t="s">
        <v>479</v>
      </c>
      <c r="D43" s="391" t="s">
        <v>76</v>
      </c>
      <c r="E43" s="387">
        <f>'Z1.1'!S60</f>
        <v>3500</v>
      </c>
      <c r="F43" s="388">
        <f>'Z1.1'!T60</f>
        <v>3500</v>
      </c>
      <c r="G43" s="389">
        <f>F43/E43</f>
        <v>1</v>
      </c>
      <c r="H43" s="387">
        <f>H44</f>
        <v>3500</v>
      </c>
      <c r="I43" s="388">
        <f>I44</f>
        <v>3500</v>
      </c>
      <c r="J43" s="390">
        <f t="shared" si="0"/>
        <v>1</v>
      </c>
    </row>
    <row r="44" spans="1:10" ht="15" customHeight="1">
      <c r="A44" s="186"/>
      <c r="B44" s="187"/>
      <c r="C44" s="140" t="s">
        <v>260</v>
      </c>
      <c r="D44" s="146" t="s">
        <v>480</v>
      </c>
      <c r="E44" s="184">
        <v>0</v>
      </c>
      <c r="F44" s="131">
        <v>0</v>
      </c>
      <c r="G44" s="131">
        <v>0</v>
      </c>
      <c r="H44" s="184">
        <f>'1.2'!K76</f>
        <v>3500</v>
      </c>
      <c r="I44" s="131">
        <f>'1.2'!M76</f>
        <v>3500</v>
      </c>
      <c r="J44" s="167">
        <f t="shared" si="0"/>
        <v>1</v>
      </c>
    </row>
    <row r="45" spans="1:10" ht="14.25" customHeight="1">
      <c r="A45" s="392" t="s">
        <v>283</v>
      </c>
      <c r="B45" s="392" t="s">
        <v>285</v>
      </c>
      <c r="C45" s="381" t="s">
        <v>475</v>
      </c>
      <c r="D45" s="391" t="s">
        <v>286</v>
      </c>
      <c r="E45" s="387">
        <f>'Z1.1'!S63</f>
        <v>94258</v>
      </c>
      <c r="F45" s="388">
        <f>'Z1.1'!T63</f>
        <v>94258</v>
      </c>
      <c r="G45" s="389">
        <f>F45/E45</f>
        <v>1</v>
      </c>
      <c r="H45" s="387">
        <f>H47+H48+H49+H52+H50+H51+H53+H54+H55+H46</f>
        <v>94258</v>
      </c>
      <c r="I45" s="387">
        <f>I47+I48+I49+I52+I50+I51+I53+I54+I55+I46</f>
        <v>94258</v>
      </c>
      <c r="J45" s="390">
        <f t="shared" si="0"/>
        <v>1</v>
      </c>
    </row>
    <row r="46" spans="1:10" ht="12.75">
      <c r="A46" s="195"/>
      <c r="B46" s="195"/>
      <c r="C46" s="140" t="s">
        <v>230</v>
      </c>
      <c r="D46" s="146" t="s">
        <v>263</v>
      </c>
      <c r="E46" s="184">
        <v>0</v>
      </c>
      <c r="F46" s="131">
        <v>0</v>
      </c>
      <c r="G46" s="131">
        <v>0</v>
      </c>
      <c r="H46" s="184">
        <f>'1.2'!K79</f>
        <v>10000</v>
      </c>
      <c r="I46" s="131">
        <f>'1.2'!M79</f>
        <v>10000</v>
      </c>
      <c r="J46" s="167">
        <f t="shared" si="0"/>
        <v>1</v>
      </c>
    </row>
    <row r="47" spans="1:10" ht="12.75">
      <c r="A47" s="187"/>
      <c r="B47" s="196"/>
      <c r="C47" s="140" t="s">
        <v>238</v>
      </c>
      <c r="D47" s="183" t="s">
        <v>377</v>
      </c>
      <c r="E47" s="184">
        <v>0</v>
      </c>
      <c r="F47" s="131">
        <v>0</v>
      </c>
      <c r="G47" s="131">
        <v>0</v>
      </c>
      <c r="H47" s="184">
        <f>'1.2'!K80</f>
        <v>55440</v>
      </c>
      <c r="I47" s="131">
        <f>'1.2'!M80</f>
        <v>55440</v>
      </c>
      <c r="J47" s="167">
        <f t="shared" si="0"/>
        <v>1</v>
      </c>
    </row>
    <row r="48" spans="1:10" ht="12.75">
      <c r="A48" s="187"/>
      <c r="B48" s="196"/>
      <c r="C48" s="140" t="s">
        <v>240</v>
      </c>
      <c r="D48" s="146" t="s">
        <v>370</v>
      </c>
      <c r="E48" s="184">
        <v>0</v>
      </c>
      <c r="F48" s="131">
        <v>0</v>
      </c>
      <c r="G48" s="131">
        <v>0</v>
      </c>
      <c r="H48" s="184">
        <f>'1.2'!K81</f>
        <v>4590</v>
      </c>
      <c r="I48" s="131">
        <f>'1.2'!M81</f>
        <v>4590</v>
      </c>
      <c r="J48" s="167">
        <f t="shared" si="0"/>
        <v>1</v>
      </c>
    </row>
    <row r="49" spans="1:10" ht="12.75">
      <c r="A49" s="187"/>
      <c r="B49" s="196"/>
      <c r="C49" s="197" t="s">
        <v>242</v>
      </c>
      <c r="D49" s="183" t="s">
        <v>288</v>
      </c>
      <c r="E49" s="184">
        <v>0</v>
      </c>
      <c r="F49" s="131">
        <v>0</v>
      </c>
      <c r="G49" s="131">
        <v>0</v>
      </c>
      <c r="H49" s="184">
        <f>'1.2'!K82</f>
        <v>10321</v>
      </c>
      <c r="I49" s="131">
        <f>'1.2'!M82</f>
        <v>10321</v>
      </c>
      <c r="J49" s="167">
        <f t="shared" si="0"/>
        <v>1</v>
      </c>
    </row>
    <row r="50" spans="1:10" ht="12.75">
      <c r="A50" s="187"/>
      <c r="B50" s="196"/>
      <c r="C50" s="197" t="s">
        <v>244</v>
      </c>
      <c r="D50" s="183" t="s">
        <v>245</v>
      </c>
      <c r="E50" s="184">
        <v>0</v>
      </c>
      <c r="F50" s="131">
        <v>0</v>
      </c>
      <c r="G50" s="131">
        <v>0</v>
      </c>
      <c r="H50" s="184">
        <f>'1.2'!K84</f>
        <v>1471</v>
      </c>
      <c r="I50" s="131">
        <f>'1.2'!M84</f>
        <v>1471</v>
      </c>
      <c r="J50" s="167">
        <f t="shared" si="0"/>
        <v>1</v>
      </c>
    </row>
    <row r="51" spans="1:10" ht="12.75">
      <c r="A51" s="187"/>
      <c r="B51" s="196"/>
      <c r="C51" s="197" t="s">
        <v>665</v>
      </c>
      <c r="D51" s="183" t="s">
        <v>377</v>
      </c>
      <c r="E51" s="184">
        <v>0</v>
      </c>
      <c r="F51" s="131">
        <v>0</v>
      </c>
      <c r="G51" s="131">
        <v>0</v>
      </c>
      <c r="H51" s="184">
        <f>'1.2'!K85</f>
        <v>7200</v>
      </c>
      <c r="I51" s="131">
        <f>'1.2'!M85</f>
        <v>7200</v>
      </c>
      <c r="J51" s="167">
        <f t="shared" si="0"/>
        <v>1</v>
      </c>
    </row>
    <row r="52" spans="1:10" ht="12.75">
      <c r="A52" s="187"/>
      <c r="B52" s="196"/>
      <c r="C52" s="140" t="s">
        <v>225</v>
      </c>
      <c r="D52" s="146" t="s">
        <v>226</v>
      </c>
      <c r="E52" s="184">
        <v>0</v>
      </c>
      <c r="F52" s="131">
        <v>0</v>
      </c>
      <c r="G52" s="131">
        <v>0</v>
      </c>
      <c r="H52" s="184">
        <f>'1.2'!K86</f>
        <v>1060</v>
      </c>
      <c r="I52" s="131">
        <f>'1.2'!M86</f>
        <v>1060</v>
      </c>
      <c r="J52" s="167">
        <f t="shared" si="0"/>
        <v>1</v>
      </c>
    </row>
    <row r="53" spans="1:10" ht="12.75">
      <c r="A53" s="187"/>
      <c r="B53" s="196"/>
      <c r="C53" s="140" t="s">
        <v>228</v>
      </c>
      <c r="D53" s="146" t="s">
        <v>290</v>
      </c>
      <c r="E53" s="184">
        <v>0</v>
      </c>
      <c r="F53" s="131">
        <v>0</v>
      </c>
      <c r="G53" s="131">
        <v>0</v>
      </c>
      <c r="H53" s="184">
        <f>'1.2'!K87</f>
        <v>1438</v>
      </c>
      <c r="I53" s="131">
        <f>'1.2'!M87</f>
        <v>1438</v>
      </c>
      <c r="J53" s="167">
        <f t="shared" si="0"/>
        <v>1</v>
      </c>
    </row>
    <row r="54" spans="1:10" ht="12.75">
      <c r="A54" s="187"/>
      <c r="B54" s="196"/>
      <c r="C54" s="140" t="s">
        <v>254</v>
      </c>
      <c r="D54" s="146" t="s">
        <v>255</v>
      </c>
      <c r="E54" s="184">
        <v>0</v>
      </c>
      <c r="F54" s="131">
        <v>0</v>
      </c>
      <c r="G54" s="131">
        <v>0</v>
      </c>
      <c r="H54" s="184">
        <f>'1.2'!K88</f>
        <v>882</v>
      </c>
      <c r="I54" s="131">
        <f>'1.2'!M88</f>
        <v>882</v>
      </c>
      <c r="J54" s="167">
        <f t="shared" si="0"/>
        <v>1</v>
      </c>
    </row>
    <row r="55" spans="1:10" ht="12.75">
      <c r="A55" s="182"/>
      <c r="B55" s="126"/>
      <c r="C55" s="140" t="s">
        <v>221</v>
      </c>
      <c r="D55" s="146" t="s">
        <v>222</v>
      </c>
      <c r="E55" s="184">
        <v>0</v>
      </c>
      <c r="F55" s="131">
        <v>0</v>
      </c>
      <c r="G55" s="131">
        <v>0</v>
      </c>
      <c r="H55" s="184">
        <f>'1.2'!K89</f>
        <v>1856</v>
      </c>
      <c r="I55" s="131">
        <f>'1.2'!M89</f>
        <v>1856</v>
      </c>
      <c r="J55" s="167">
        <f aca="true" t="shared" si="1" ref="J55:J81">I55/H55</f>
        <v>1</v>
      </c>
    </row>
    <row r="56" spans="1:10" ht="15.75" customHeight="1">
      <c r="A56" s="392" t="s">
        <v>283</v>
      </c>
      <c r="B56" s="392" t="s">
        <v>307</v>
      </c>
      <c r="C56" s="381" t="s">
        <v>475</v>
      </c>
      <c r="D56" s="391" t="s">
        <v>84</v>
      </c>
      <c r="E56" s="387">
        <f>'Z1.1'!S72</f>
        <v>13488</v>
      </c>
      <c r="F56" s="388">
        <f>'Z1.1'!T72</f>
        <v>13488</v>
      </c>
      <c r="G56" s="389">
        <f>F56/E56</f>
        <v>1</v>
      </c>
      <c r="H56" s="387">
        <f>H57+H58+H59+H60+H61+H62+H63</f>
        <v>13488</v>
      </c>
      <c r="I56" s="387">
        <f>I57+I58+I59+I60+I61+I62+I63</f>
        <v>13488</v>
      </c>
      <c r="J56" s="390">
        <f t="shared" si="1"/>
        <v>1</v>
      </c>
    </row>
    <row r="57" spans="1:10" ht="15" customHeight="1">
      <c r="A57" s="198"/>
      <c r="B57" s="195"/>
      <c r="C57" s="140" t="s">
        <v>217</v>
      </c>
      <c r="D57" s="146" t="s">
        <v>481</v>
      </c>
      <c r="E57" s="184">
        <v>0</v>
      </c>
      <c r="F57" s="131">
        <v>0</v>
      </c>
      <c r="G57" s="131">
        <v>0</v>
      </c>
      <c r="H57" s="184">
        <f>'1.2'!K126</f>
        <v>7120</v>
      </c>
      <c r="I57" s="131">
        <f>'1.2'!M126</f>
        <v>7120</v>
      </c>
      <c r="J57" s="167">
        <f t="shared" si="1"/>
        <v>1</v>
      </c>
    </row>
    <row r="58" spans="1:10" ht="13.5" customHeight="1">
      <c r="A58" s="199"/>
      <c r="B58" s="196"/>
      <c r="C58" s="140" t="s">
        <v>242</v>
      </c>
      <c r="D58" s="146" t="s">
        <v>288</v>
      </c>
      <c r="E58" s="184">
        <v>0</v>
      </c>
      <c r="F58" s="131">
        <v>0</v>
      </c>
      <c r="G58" s="131">
        <v>0</v>
      </c>
      <c r="H58" s="184">
        <f>'1.2'!K127</f>
        <v>560</v>
      </c>
      <c r="I58" s="131">
        <f>'1.2'!M127</f>
        <v>560</v>
      </c>
      <c r="J58" s="167">
        <f t="shared" si="1"/>
        <v>1</v>
      </c>
    </row>
    <row r="59" spans="1:10" ht="13.5" customHeight="1">
      <c r="A59" s="199"/>
      <c r="B59" s="196"/>
      <c r="C59" s="140" t="s">
        <v>244</v>
      </c>
      <c r="D59" s="146" t="s">
        <v>245</v>
      </c>
      <c r="E59" s="184">
        <v>0</v>
      </c>
      <c r="F59" s="131">
        <v>0</v>
      </c>
      <c r="G59" s="131">
        <v>0</v>
      </c>
      <c r="H59" s="184">
        <f>'1.2'!K128</f>
        <v>80</v>
      </c>
      <c r="I59" s="131">
        <f>'1.2'!M128</f>
        <v>80</v>
      </c>
      <c r="J59" s="167">
        <f t="shared" si="1"/>
        <v>1</v>
      </c>
    </row>
    <row r="60" spans="1:10" ht="13.5" customHeight="1">
      <c r="A60" s="199"/>
      <c r="B60" s="196"/>
      <c r="C60" s="140" t="s">
        <v>665</v>
      </c>
      <c r="D60" s="146" t="s">
        <v>666</v>
      </c>
      <c r="E60" s="184">
        <v>0</v>
      </c>
      <c r="F60" s="131">
        <v>0</v>
      </c>
      <c r="G60" s="131">
        <v>0</v>
      </c>
      <c r="H60" s="184">
        <f>'1.2'!K129</f>
        <v>4150</v>
      </c>
      <c r="I60" s="131">
        <f>'1.2'!M129</f>
        <v>4150</v>
      </c>
      <c r="J60" s="167">
        <f t="shared" si="1"/>
        <v>1</v>
      </c>
    </row>
    <row r="61" spans="1:10" ht="12" customHeight="1">
      <c r="A61" s="199"/>
      <c r="B61" s="196"/>
      <c r="C61" s="140" t="s">
        <v>225</v>
      </c>
      <c r="D61" s="146" t="s">
        <v>226</v>
      </c>
      <c r="E61" s="184">
        <v>0</v>
      </c>
      <c r="F61" s="131">
        <v>0</v>
      </c>
      <c r="G61" s="131">
        <v>0</v>
      </c>
      <c r="H61" s="184">
        <f>'1.2'!K130</f>
        <v>878</v>
      </c>
      <c r="I61" s="131">
        <f>'1.2'!M130</f>
        <v>878</v>
      </c>
      <c r="J61" s="167">
        <f t="shared" si="1"/>
        <v>1</v>
      </c>
    </row>
    <row r="62" spans="1:10" ht="12.75" customHeight="1">
      <c r="A62" s="199"/>
      <c r="B62" s="196"/>
      <c r="C62" s="140" t="s">
        <v>228</v>
      </c>
      <c r="D62" s="146" t="s">
        <v>290</v>
      </c>
      <c r="E62" s="184">
        <v>0</v>
      </c>
      <c r="F62" s="131">
        <v>0</v>
      </c>
      <c r="G62" s="131">
        <v>0</v>
      </c>
      <c r="H62" s="184">
        <f>'1.2'!K131</f>
        <v>458</v>
      </c>
      <c r="I62" s="131">
        <f>'1.2'!M131</f>
        <v>458</v>
      </c>
      <c r="J62" s="167">
        <f t="shared" si="1"/>
        <v>1</v>
      </c>
    </row>
    <row r="63" spans="1:10" ht="12" customHeight="1">
      <c r="A63" s="200"/>
      <c r="B63" s="126"/>
      <c r="C63" s="140" t="s">
        <v>254</v>
      </c>
      <c r="D63" s="146" t="s">
        <v>255</v>
      </c>
      <c r="E63" s="184">
        <v>0</v>
      </c>
      <c r="F63" s="131">
        <v>0</v>
      </c>
      <c r="G63" s="131">
        <v>0</v>
      </c>
      <c r="H63" s="184">
        <f>'1.2'!K132</f>
        <v>242</v>
      </c>
      <c r="I63" s="131">
        <f>'1.2'!M132</f>
        <v>242</v>
      </c>
      <c r="J63" s="167">
        <f t="shared" si="1"/>
        <v>1</v>
      </c>
    </row>
    <row r="64" spans="1:10" ht="12.75" hidden="1">
      <c r="A64" s="196" t="s">
        <v>308</v>
      </c>
      <c r="B64" s="196" t="s">
        <v>482</v>
      </c>
      <c r="C64" s="129" t="s">
        <v>476</v>
      </c>
      <c r="D64" s="191" t="s">
        <v>92</v>
      </c>
      <c r="E64" s="192">
        <v>0</v>
      </c>
      <c r="F64" s="138"/>
      <c r="G64" s="193" t="e">
        <f aca="true" t="shared" si="2" ref="G64:G85">F64/E64</f>
        <v>#DIV/0!</v>
      </c>
      <c r="H64" s="192">
        <f>H67+H69+H70+H71+H72+H74+H75+H76+H68+H77+H78+H79+H80+H81+H82+H83+H84+H65+H66+H73</f>
        <v>0</v>
      </c>
      <c r="I64" s="138"/>
      <c r="J64" s="185" t="e">
        <f t="shared" si="1"/>
        <v>#DIV/0!</v>
      </c>
    </row>
    <row r="65" spans="1:10" ht="12.75" hidden="1">
      <c r="A65" s="198"/>
      <c r="B65" s="195"/>
      <c r="C65" s="140" t="s">
        <v>215</v>
      </c>
      <c r="D65" s="146" t="s">
        <v>483</v>
      </c>
      <c r="E65" s="184">
        <v>0</v>
      </c>
      <c r="F65" s="131"/>
      <c r="G65" s="193" t="e">
        <f t="shared" si="2"/>
        <v>#DIV/0!</v>
      </c>
      <c r="H65" s="184">
        <v>0</v>
      </c>
      <c r="I65" s="131"/>
      <c r="J65" s="185" t="e">
        <f t="shared" si="1"/>
        <v>#DIV/0!</v>
      </c>
    </row>
    <row r="66" spans="1:10" ht="12.75" hidden="1">
      <c r="A66" s="199"/>
      <c r="B66" s="196"/>
      <c r="C66" s="140" t="s">
        <v>217</v>
      </c>
      <c r="D66" s="146" t="s">
        <v>481</v>
      </c>
      <c r="E66" s="184">
        <v>0</v>
      </c>
      <c r="F66" s="131"/>
      <c r="G66" s="193" t="e">
        <f t="shared" si="2"/>
        <v>#DIV/0!</v>
      </c>
      <c r="H66" s="184">
        <v>0</v>
      </c>
      <c r="I66" s="131"/>
      <c r="J66" s="185" t="e">
        <f t="shared" si="1"/>
        <v>#DIV/0!</v>
      </c>
    </row>
    <row r="67" spans="1:10" ht="12.75" hidden="1">
      <c r="A67" s="186"/>
      <c r="B67" s="187"/>
      <c r="C67" s="140" t="s">
        <v>238</v>
      </c>
      <c r="D67" s="183" t="s">
        <v>377</v>
      </c>
      <c r="E67" s="184">
        <v>0</v>
      </c>
      <c r="F67" s="131"/>
      <c r="G67" s="193" t="e">
        <f t="shared" si="2"/>
        <v>#DIV/0!</v>
      </c>
      <c r="H67" s="184">
        <v>0</v>
      </c>
      <c r="I67" s="131"/>
      <c r="J67" s="185" t="e">
        <f t="shared" si="1"/>
        <v>#DIV/0!</v>
      </c>
    </row>
    <row r="68" spans="1:10" ht="12.75" hidden="1">
      <c r="A68" s="186"/>
      <c r="B68" s="187"/>
      <c r="C68" s="140" t="s">
        <v>278</v>
      </c>
      <c r="D68" s="183" t="s">
        <v>311</v>
      </c>
      <c r="E68" s="184">
        <v>0</v>
      </c>
      <c r="F68" s="131"/>
      <c r="G68" s="193" t="e">
        <f t="shared" si="2"/>
        <v>#DIV/0!</v>
      </c>
      <c r="H68" s="184">
        <v>0</v>
      </c>
      <c r="I68" s="131"/>
      <c r="J68" s="185" t="e">
        <f t="shared" si="1"/>
        <v>#DIV/0!</v>
      </c>
    </row>
    <row r="69" spans="1:10" ht="12.75" hidden="1">
      <c r="A69" s="186"/>
      <c r="B69" s="187"/>
      <c r="C69" s="140" t="s">
        <v>240</v>
      </c>
      <c r="D69" s="183" t="s">
        <v>484</v>
      </c>
      <c r="E69" s="184">
        <v>0</v>
      </c>
      <c r="F69" s="131"/>
      <c r="G69" s="193" t="e">
        <f t="shared" si="2"/>
        <v>#DIV/0!</v>
      </c>
      <c r="H69" s="184">
        <v>0</v>
      </c>
      <c r="I69" s="131"/>
      <c r="J69" s="185" t="e">
        <f t="shared" si="1"/>
        <v>#DIV/0!</v>
      </c>
    </row>
    <row r="70" spans="1:10" ht="22.5" hidden="1">
      <c r="A70" s="186"/>
      <c r="B70" s="187"/>
      <c r="C70" s="140" t="s">
        <v>312</v>
      </c>
      <c r="D70" s="183" t="s">
        <v>485</v>
      </c>
      <c r="E70" s="184">
        <v>0</v>
      </c>
      <c r="F70" s="131"/>
      <c r="G70" s="193" t="e">
        <f t="shared" si="2"/>
        <v>#DIV/0!</v>
      </c>
      <c r="H70" s="184">
        <v>0</v>
      </c>
      <c r="I70" s="131"/>
      <c r="J70" s="185" t="e">
        <f t="shared" si="1"/>
        <v>#DIV/0!</v>
      </c>
    </row>
    <row r="71" spans="1:10" ht="12.75" hidden="1">
      <c r="A71" s="186"/>
      <c r="B71" s="187"/>
      <c r="C71" s="140" t="s">
        <v>314</v>
      </c>
      <c r="D71" s="146" t="s">
        <v>486</v>
      </c>
      <c r="E71" s="184">
        <v>0</v>
      </c>
      <c r="F71" s="131"/>
      <c r="G71" s="193" t="e">
        <f t="shared" si="2"/>
        <v>#DIV/0!</v>
      </c>
      <c r="H71" s="184">
        <v>0</v>
      </c>
      <c r="I71" s="131"/>
      <c r="J71" s="185" t="e">
        <f t="shared" si="1"/>
        <v>#DIV/0!</v>
      </c>
    </row>
    <row r="72" spans="1:10" ht="12.75" hidden="1">
      <c r="A72" s="186"/>
      <c r="B72" s="187"/>
      <c r="C72" s="140" t="s">
        <v>316</v>
      </c>
      <c r="D72" s="146" t="s">
        <v>317</v>
      </c>
      <c r="E72" s="184">
        <v>0</v>
      </c>
      <c r="F72" s="131"/>
      <c r="G72" s="193" t="e">
        <f t="shared" si="2"/>
        <v>#DIV/0!</v>
      </c>
      <c r="H72" s="184">
        <v>0</v>
      </c>
      <c r="I72" s="131"/>
      <c r="J72" s="185" t="e">
        <f t="shared" si="1"/>
        <v>#DIV/0!</v>
      </c>
    </row>
    <row r="73" spans="1:10" ht="22.5" hidden="1">
      <c r="A73" s="186"/>
      <c r="B73" s="187"/>
      <c r="C73" s="140" t="s">
        <v>318</v>
      </c>
      <c r="D73" s="183" t="s">
        <v>487</v>
      </c>
      <c r="E73" s="184">
        <v>0</v>
      </c>
      <c r="F73" s="131"/>
      <c r="G73" s="193" t="e">
        <f t="shared" si="2"/>
        <v>#DIV/0!</v>
      </c>
      <c r="H73" s="184">
        <v>0</v>
      </c>
      <c r="I73" s="131"/>
      <c r="J73" s="185" t="e">
        <f t="shared" si="1"/>
        <v>#DIV/0!</v>
      </c>
    </row>
    <row r="74" spans="1:10" ht="12.75" hidden="1">
      <c r="A74" s="186"/>
      <c r="B74" s="187"/>
      <c r="C74" s="140" t="s">
        <v>242</v>
      </c>
      <c r="D74" s="183" t="s">
        <v>488</v>
      </c>
      <c r="E74" s="184">
        <v>0</v>
      </c>
      <c r="F74" s="131"/>
      <c r="G74" s="193" t="e">
        <f t="shared" si="2"/>
        <v>#DIV/0!</v>
      </c>
      <c r="H74" s="184">
        <v>0</v>
      </c>
      <c r="I74" s="131"/>
      <c r="J74" s="185" t="e">
        <f t="shared" si="1"/>
        <v>#DIV/0!</v>
      </c>
    </row>
    <row r="75" spans="1:10" ht="18" customHeight="1" hidden="1">
      <c r="A75" s="186"/>
      <c r="B75" s="187"/>
      <c r="C75" s="197" t="s">
        <v>244</v>
      </c>
      <c r="D75" s="183" t="s">
        <v>245</v>
      </c>
      <c r="E75" s="184">
        <v>0</v>
      </c>
      <c r="F75" s="131"/>
      <c r="G75" s="193" t="e">
        <f t="shared" si="2"/>
        <v>#DIV/0!</v>
      </c>
      <c r="H75" s="184">
        <v>0</v>
      </c>
      <c r="I75" s="131"/>
      <c r="J75" s="185" t="e">
        <f t="shared" si="1"/>
        <v>#DIV/0!</v>
      </c>
    </row>
    <row r="76" spans="1:10" ht="12.75" hidden="1">
      <c r="A76" s="186"/>
      <c r="B76" s="187"/>
      <c r="C76" s="140" t="s">
        <v>225</v>
      </c>
      <c r="D76" s="146" t="s">
        <v>226</v>
      </c>
      <c r="E76" s="184">
        <v>0</v>
      </c>
      <c r="F76" s="131"/>
      <c r="G76" s="193" t="e">
        <f t="shared" si="2"/>
        <v>#DIV/0!</v>
      </c>
      <c r="H76" s="184">
        <v>0</v>
      </c>
      <c r="I76" s="131"/>
      <c r="J76" s="185" t="e">
        <f t="shared" si="1"/>
        <v>#DIV/0!</v>
      </c>
    </row>
    <row r="77" spans="1:10" ht="12.75" hidden="1">
      <c r="A77" s="186"/>
      <c r="B77" s="187"/>
      <c r="C77" s="140" t="s">
        <v>320</v>
      </c>
      <c r="D77" s="146" t="s">
        <v>489</v>
      </c>
      <c r="E77" s="184">
        <v>0</v>
      </c>
      <c r="F77" s="131"/>
      <c r="G77" s="193" t="e">
        <f t="shared" si="2"/>
        <v>#DIV/0!</v>
      </c>
      <c r="H77" s="184">
        <v>0</v>
      </c>
      <c r="I77" s="131"/>
      <c r="J77" s="185" t="e">
        <f t="shared" si="1"/>
        <v>#DIV/0!</v>
      </c>
    </row>
    <row r="78" spans="1:10" ht="12.75" hidden="1">
      <c r="A78" s="186"/>
      <c r="B78" s="187"/>
      <c r="C78" s="140" t="s">
        <v>322</v>
      </c>
      <c r="D78" s="146" t="s">
        <v>323</v>
      </c>
      <c r="E78" s="184">
        <v>0</v>
      </c>
      <c r="F78" s="131"/>
      <c r="G78" s="193" t="e">
        <f t="shared" si="2"/>
        <v>#DIV/0!</v>
      </c>
      <c r="H78" s="184">
        <v>0</v>
      </c>
      <c r="I78" s="131"/>
      <c r="J78" s="185" t="e">
        <f t="shared" si="1"/>
        <v>#DIV/0!</v>
      </c>
    </row>
    <row r="79" spans="1:10" ht="12.75" hidden="1">
      <c r="A79" s="186"/>
      <c r="B79" s="187"/>
      <c r="C79" s="140" t="s">
        <v>250</v>
      </c>
      <c r="D79" s="146" t="s">
        <v>266</v>
      </c>
      <c r="E79" s="184">
        <v>0</v>
      </c>
      <c r="F79" s="131"/>
      <c r="G79" s="193" t="e">
        <f t="shared" si="2"/>
        <v>#DIV/0!</v>
      </c>
      <c r="H79" s="184">
        <v>0</v>
      </c>
      <c r="I79" s="131"/>
      <c r="J79" s="185" t="e">
        <f t="shared" si="1"/>
        <v>#DIV/0!</v>
      </c>
    </row>
    <row r="80" spans="1:10" ht="12.75" hidden="1">
      <c r="A80" s="186"/>
      <c r="B80" s="187"/>
      <c r="C80" s="140" t="s">
        <v>252</v>
      </c>
      <c r="D80" s="146" t="s">
        <v>324</v>
      </c>
      <c r="E80" s="184">
        <v>0</v>
      </c>
      <c r="F80" s="131"/>
      <c r="G80" s="193" t="e">
        <f t="shared" si="2"/>
        <v>#DIV/0!</v>
      </c>
      <c r="H80" s="184">
        <v>0</v>
      </c>
      <c r="I80" s="131"/>
      <c r="J80" s="185" t="e">
        <f t="shared" si="1"/>
        <v>#DIV/0!</v>
      </c>
    </row>
    <row r="81" spans="1:10" ht="12.75" hidden="1">
      <c r="A81" s="186"/>
      <c r="B81" s="187"/>
      <c r="C81" s="140" t="s">
        <v>228</v>
      </c>
      <c r="D81" s="146" t="s">
        <v>290</v>
      </c>
      <c r="E81" s="184">
        <v>0</v>
      </c>
      <c r="F81" s="131"/>
      <c r="G81" s="193" t="e">
        <f t="shared" si="2"/>
        <v>#DIV/0!</v>
      </c>
      <c r="H81" s="184">
        <v>0</v>
      </c>
      <c r="I81" s="131"/>
      <c r="J81" s="185" t="e">
        <f t="shared" si="1"/>
        <v>#DIV/0!</v>
      </c>
    </row>
    <row r="82" spans="1:10" ht="12.75" hidden="1">
      <c r="A82" s="186"/>
      <c r="B82" s="187"/>
      <c r="C82" s="140" t="s">
        <v>254</v>
      </c>
      <c r="D82" s="146" t="s">
        <v>255</v>
      </c>
      <c r="E82" s="184">
        <v>0</v>
      </c>
      <c r="F82" s="131"/>
      <c r="G82" s="193" t="e">
        <f t="shared" si="2"/>
        <v>#DIV/0!</v>
      </c>
      <c r="H82" s="184">
        <v>0</v>
      </c>
      <c r="I82" s="131"/>
      <c r="J82" s="185" t="e">
        <f aca="true" t="shared" si="3" ref="J82:J115">I82/H82</f>
        <v>#DIV/0!</v>
      </c>
    </row>
    <row r="83" spans="1:10" ht="12.75" hidden="1">
      <c r="A83" s="140"/>
      <c r="B83" s="140"/>
      <c r="C83" s="140" t="s">
        <v>221</v>
      </c>
      <c r="D83" s="146" t="s">
        <v>222</v>
      </c>
      <c r="E83" s="184">
        <v>0</v>
      </c>
      <c r="F83" s="131"/>
      <c r="G83" s="193" t="e">
        <f t="shared" si="2"/>
        <v>#DIV/0!</v>
      </c>
      <c r="H83" s="184">
        <v>0</v>
      </c>
      <c r="I83" s="131"/>
      <c r="J83" s="185" t="e">
        <f t="shared" si="3"/>
        <v>#DIV/0!</v>
      </c>
    </row>
    <row r="84" spans="1:10" ht="12.75" hidden="1">
      <c r="A84" s="140"/>
      <c r="B84" s="140"/>
      <c r="C84" s="140" t="s">
        <v>256</v>
      </c>
      <c r="D84" s="146" t="s">
        <v>257</v>
      </c>
      <c r="E84" s="184">
        <v>0</v>
      </c>
      <c r="F84" s="131"/>
      <c r="G84" s="193" t="e">
        <f t="shared" si="2"/>
        <v>#DIV/0!</v>
      </c>
      <c r="H84" s="184">
        <v>0</v>
      </c>
      <c r="I84" s="131"/>
      <c r="J84" s="185" t="e">
        <f t="shared" si="3"/>
        <v>#DIV/0!</v>
      </c>
    </row>
    <row r="85" spans="1:10" ht="24.75" customHeight="1">
      <c r="A85" s="380" t="s">
        <v>308</v>
      </c>
      <c r="B85" s="380" t="s">
        <v>94</v>
      </c>
      <c r="C85" s="381" t="s">
        <v>475</v>
      </c>
      <c r="D85" s="382" t="s">
        <v>87</v>
      </c>
      <c r="E85" s="387">
        <f>'Z1.1'!S76</f>
        <v>2027000</v>
      </c>
      <c r="F85" s="388">
        <f>'Z1.1'!T76</f>
        <v>2027000</v>
      </c>
      <c r="G85" s="389">
        <f t="shared" si="2"/>
        <v>1</v>
      </c>
      <c r="H85" s="387">
        <f>H86+H87+H88+H89+H90+H91+H92+H93+H94+H95+H101+H102+H103+H104+H105+H106+H107+H108+H109+H110+H111+H112</f>
        <v>2027000</v>
      </c>
      <c r="I85" s="387">
        <f>I86+I87+I88+I89+I90+I91+I92+I93+I94+I95+I101+I102+I103+I104+I105+I106+I107+I108+I109+I110+I111+I112</f>
        <v>2027000</v>
      </c>
      <c r="J85" s="390">
        <f t="shared" si="3"/>
        <v>1</v>
      </c>
    </row>
    <row r="86" spans="1:10" ht="21.75" customHeight="1">
      <c r="A86" s="471"/>
      <c r="B86" s="471"/>
      <c r="C86" s="465" t="s">
        <v>676</v>
      </c>
      <c r="D86" s="466" t="s">
        <v>677</v>
      </c>
      <c r="E86" s="469">
        <v>0</v>
      </c>
      <c r="F86" s="441">
        <v>0</v>
      </c>
      <c r="G86" s="470">
        <v>0</v>
      </c>
      <c r="H86" s="469">
        <f>'1.2'!M147</f>
        <v>125416</v>
      </c>
      <c r="I86" s="467">
        <f>'1.2'!M147</f>
        <v>125416</v>
      </c>
      <c r="J86" s="468">
        <f t="shared" si="3"/>
        <v>1</v>
      </c>
    </row>
    <row r="87" spans="1:10" ht="14.25" customHeight="1">
      <c r="A87" s="129"/>
      <c r="B87" s="140"/>
      <c r="C87" s="140" t="s">
        <v>278</v>
      </c>
      <c r="D87" s="183" t="s">
        <v>490</v>
      </c>
      <c r="E87" s="184">
        <v>0</v>
      </c>
      <c r="F87" s="131">
        <v>0</v>
      </c>
      <c r="G87" s="131">
        <v>0</v>
      </c>
      <c r="H87" s="469">
        <f>'1.2'!M148</f>
        <v>19470</v>
      </c>
      <c r="I87" s="467">
        <f>'1.2'!M148</f>
        <v>19470</v>
      </c>
      <c r="J87" s="167">
        <f t="shared" si="3"/>
        <v>1</v>
      </c>
    </row>
    <row r="88" spans="1:10" ht="14.25" customHeight="1">
      <c r="A88" s="198"/>
      <c r="B88" s="201"/>
      <c r="C88" s="140" t="s">
        <v>240</v>
      </c>
      <c r="D88" s="183" t="s">
        <v>484</v>
      </c>
      <c r="E88" s="184">
        <v>0</v>
      </c>
      <c r="F88" s="131">
        <v>0</v>
      </c>
      <c r="G88" s="131">
        <v>0</v>
      </c>
      <c r="H88" s="469">
        <f>'1.2'!M149</f>
        <v>1530</v>
      </c>
      <c r="I88" s="467">
        <f>'1.2'!M149</f>
        <v>1530</v>
      </c>
      <c r="J88" s="167">
        <f t="shared" si="3"/>
        <v>1</v>
      </c>
    </row>
    <row r="89" spans="1:10" ht="14.25" customHeight="1">
      <c r="A89" s="199"/>
      <c r="B89" s="187"/>
      <c r="C89" s="140" t="s">
        <v>312</v>
      </c>
      <c r="D89" s="183" t="s">
        <v>491</v>
      </c>
      <c r="E89" s="184">
        <v>0</v>
      </c>
      <c r="F89" s="131">
        <v>0</v>
      </c>
      <c r="G89" s="131">
        <v>0</v>
      </c>
      <c r="H89" s="469">
        <f>'1.2'!M150</f>
        <v>1245000</v>
      </c>
      <c r="I89" s="467">
        <f>'1.2'!M150</f>
        <v>1245000</v>
      </c>
      <c r="J89" s="167">
        <f t="shared" si="3"/>
        <v>1</v>
      </c>
    </row>
    <row r="90" spans="1:10" ht="13.5" customHeight="1">
      <c r="A90" s="199"/>
      <c r="B90" s="187"/>
      <c r="C90" s="140" t="s">
        <v>314</v>
      </c>
      <c r="D90" s="146" t="s">
        <v>486</v>
      </c>
      <c r="E90" s="184">
        <v>0</v>
      </c>
      <c r="F90" s="131">
        <v>0</v>
      </c>
      <c r="G90" s="131">
        <v>0</v>
      </c>
      <c r="H90" s="469">
        <f>'1.2'!M151</f>
        <v>56668</v>
      </c>
      <c r="I90" s="467">
        <f>'1.2'!M151</f>
        <v>56668</v>
      </c>
      <c r="J90" s="167">
        <f t="shared" si="3"/>
        <v>1</v>
      </c>
    </row>
    <row r="91" spans="1:10" ht="14.25" customHeight="1">
      <c r="A91" s="199"/>
      <c r="B91" s="187"/>
      <c r="C91" s="140" t="s">
        <v>316</v>
      </c>
      <c r="D91" s="146" t="s">
        <v>317</v>
      </c>
      <c r="E91" s="184">
        <v>0</v>
      </c>
      <c r="F91" s="131">
        <v>0</v>
      </c>
      <c r="G91" s="131">
        <v>0</v>
      </c>
      <c r="H91" s="469">
        <f>'1.2'!M152</f>
        <v>96001</v>
      </c>
      <c r="I91" s="467">
        <f>'1.2'!M152</f>
        <v>96001</v>
      </c>
      <c r="J91" s="167">
        <f t="shared" si="3"/>
        <v>1</v>
      </c>
    </row>
    <row r="92" spans="1:10" ht="39" customHeight="1" hidden="1">
      <c r="A92" s="199"/>
      <c r="B92" s="187"/>
      <c r="C92" s="140" t="s">
        <v>318</v>
      </c>
      <c r="D92" s="183" t="s">
        <v>487</v>
      </c>
      <c r="E92" s="184">
        <v>0</v>
      </c>
      <c r="F92" s="131">
        <v>0</v>
      </c>
      <c r="G92" s="189">
        <v>0</v>
      </c>
      <c r="H92" s="469">
        <f>'1.2'!M153</f>
        <v>0</v>
      </c>
      <c r="I92" s="467">
        <f>'1.2'!M153</f>
        <v>0</v>
      </c>
      <c r="J92" s="167" t="e">
        <f t="shared" si="3"/>
        <v>#DIV/0!</v>
      </c>
    </row>
    <row r="93" spans="1:10" ht="14.25" customHeight="1">
      <c r="A93" s="199"/>
      <c r="B93" s="187"/>
      <c r="C93" s="197" t="s">
        <v>242</v>
      </c>
      <c r="D93" s="183" t="s">
        <v>488</v>
      </c>
      <c r="E93" s="184">
        <v>0</v>
      </c>
      <c r="F93" s="131">
        <v>0</v>
      </c>
      <c r="G93" s="131">
        <v>0</v>
      </c>
      <c r="H93" s="469">
        <f>'1.2'!M154</f>
        <v>3788</v>
      </c>
      <c r="I93" s="467">
        <f>'1.2'!M154</f>
        <v>3788</v>
      </c>
      <c r="J93" s="167">
        <f t="shared" si="3"/>
        <v>1</v>
      </c>
    </row>
    <row r="94" spans="1:10" ht="14.25" customHeight="1">
      <c r="A94" s="199"/>
      <c r="B94" s="187"/>
      <c r="C94" s="197" t="s">
        <v>244</v>
      </c>
      <c r="D94" s="183" t="s">
        <v>245</v>
      </c>
      <c r="E94" s="184">
        <v>0</v>
      </c>
      <c r="F94" s="131">
        <v>0</v>
      </c>
      <c r="G94" s="131">
        <v>0</v>
      </c>
      <c r="H94" s="469">
        <f>'1.2'!M155</f>
        <v>510</v>
      </c>
      <c r="I94" s="467">
        <f>'1.2'!M155</f>
        <v>510</v>
      </c>
      <c r="J94" s="167">
        <f t="shared" si="3"/>
        <v>1</v>
      </c>
    </row>
    <row r="95" spans="1:10" ht="14.25" customHeight="1">
      <c r="A95" s="199"/>
      <c r="B95" s="187"/>
      <c r="C95" s="140" t="s">
        <v>665</v>
      </c>
      <c r="D95" s="146" t="s">
        <v>666</v>
      </c>
      <c r="E95" s="184">
        <v>0</v>
      </c>
      <c r="F95" s="131">
        <v>0</v>
      </c>
      <c r="G95" s="131">
        <v>0</v>
      </c>
      <c r="H95" s="469">
        <f>'1.2'!M156</f>
        <v>1950</v>
      </c>
      <c r="I95" s="467">
        <f>'1.2'!M156</f>
        <v>1950</v>
      </c>
      <c r="J95" s="167">
        <f t="shared" si="3"/>
        <v>1</v>
      </c>
    </row>
    <row r="96" spans="1:10" ht="14.25" customHeight="1" hidden="1">
      <c r="A96" s="199" t="s">
        <v>131</v>
      </c>
      <c r="B96" s="196" t="s">
        <v>391</v>
      </c>
      <c r="C96" s="202" t="s">
        <v>476</v>
      </c>
      <c r="D96" s="191" t="s">
        <v>472</v>
      </c>
      <c r="E96" s="192">
        <v>0</v>
      </c>
      <c r="F96" s="138"/>
      <c r="G96" s="189" t="e">
        <f>F96/E96</f>
        <v>#DIV/0!</v>
      </c>
      <c r="H96" s="469">
        <f>'1.2'!M157</f>
        <v>76798</v>
      </c>
      <c r="I96" s="467">
        <f>'1.2'!M157</f>
        <v>76798</v>
      </c>
      <c r="J96" s="167">
        <f t="shared" si="3"/>
        <v>1</v>
      </c>
    </row>
    <row r="97" spans="1:10" ht="24" customHeight="1" hidden="1">
      <c r="A97" s="199"/>
      <c r="B97" s="196"/>
      <c r="C97" s="140" t="s">
        <v>238</v>
      </c>
      <c r="D97" s="183" t="s">
        <v>377</v>
      </c>
      <c r="E97" s="184">
        <v>0</v>
      </c>
      <c r="F97" s="131"/>
      <c r="G97" s="189" t="e">
        <f>F97/E97</f>
        <v>#DIV/0!</v>
      </c>
      <c r="H97" s="469">
        <f>'1.2'!M158</f>
        <v>267377</v>
      </c>
      <c r="I97" s="467">
        <f>'1.2'!M158</f>
        <v>267377</v>
      </c>
      <c r="J97" s="167">
        <f t="shared" si="3"/>
        <v>1</v>
      </c>
    </row>
    <row r="98" spans="1:10" ht="21.75" customHeight="1" hidden="1">
      <c r="A98" s="199"/>
      <c r="B98" s="196"/>
      <c r="C98" s="140" t="s">
        <v>240</v>
      </c>
      <c r="D98" s="146" t="s">
        <v>370</v>
      </c>
      <c r="E98" s="184">
        <v>0</v>
      </c>
      <c r="F98" s="131"/>
      <c r="G98" s="189" t="e">
        <f>F98/E98</f>
        <v>#DIV/0!</v>
      </c>
      <c r="H98" s="469">
        <f>'1.2'!M159</f>
        <v>28624</v>
      </c>
      <c r="I98" s="467">
        <f>'1.2'!M159</f>
        <v>28624</v>
      </c>
      <c r="J98" s="167">
        <f t="shared" si="3"/>
        <v>1</v>
      </c>
    </row>
    <row r="99" spans="1:10" ht="24.75" customHeight="1" hidden="1">
      <c r="A99" s="199"/>
      <c r="B99" s="196"/>
      <c r="C99" s="197" t="s">
        <v>242</v>
      </c>
      <c r="D99" s="183" t="s">
        <v>288</v>
      </c>
      <c r="E99" s="184">
        <v>0</v>
      </c>
      <c r="F99" s="131"/>
      <c r="G99" s="189" t="e">
        <f>F99/E99</f>
        <v>#DIV/0!</v>
      </c>
      <c r="H99" s="469">
        <f>'1.2'!M160</f>
        <v>16828</v>
      </c>
      <c r="I99" s="467">
        <f>'1.2'!M160</f>
        <v>16828</v>
      </c>
      <c r="J99" s="167">
        <f t="shared" si="3"/>
        <v>1</v>
      </c>
    </row>
    <row r="100" spans="1:10" ht="24.75" customHeight="1" hidden="1">
      <c r="A100" s="199"/>
      <c r="B100" s="196"/>
      <c r="C100" s="197" t="s">
        <v>244</v>
      </c>
      <c r="D100" s="183" t="s">
        <v>245</v>
      </c>
      <c r="E100" s="184">
        <v>0</v>
      </c>
      <c r="F100" s="131"/>
      <c r="G100" s="189" t="e">
        <f>F100/E100</f>
        <v>#DIV/0!</v>
      </c>
      <c r="H100" s="469">
        <f>'1.2'!M161</f>
        <v>13154</v>
      </c>
      <c r="I100" s="467">
        <f>'1.2'!M161</f>
        <v>13154</v>
      </c>
      <c r="J100" s="167">
        <f t="shared" si="3"/>
        <v>1</v>
      </c>
    </row>
    <row r="101" spans="1:10" ht="14.25" customHeight="1">
      <c r="A101" s="199"/>
      <c r="B101" s="196"/>
      <c r="C101" s="140" t="s">
        <v>678</v>
      </c>
      <c r="D101" s="74" t="s">
        <v>679</v>
      </c>
      <c r="E101" s="184">
        <v>0</v>
      </c>
      <c r="F101" s="131"/>
      <c r="G101" s="379">
        <v>0</v>
      </c>
      <c r="H101" s="469">
        <f>'1.2'!M157</f>
        <v>76798</v>
      </c>
      <c r="I101" s="467">
        <f>'1.2'!M157</f>
        <v>76798</v>
      </c>
      <c r="J101" s="167">
        <f t="shared" si="3"/>
        <v>1</v>
      </c>
    </row>
    <row r="102" spans="1:10" ht="15" customHeight="1">
      <c r="A102" s="199"/>
      <c r="B102" s="196"/>
      <c r="C102" s="140" t="s">
        <v>225</v>
      </c>
      <c r="D102" s="146" t="s">
        <v>226</v>
      </c>
      <c r="E102" s="184">
        <v>0</v>
      </c>
      <c r="F102" s="131">
        <v>0</v>
      </c>
      <c r="G102" s="131">
        <v>0</v>
      </c>
      <c r="H102" s="469">
        <f>'1.2'!M158</f>
        <v>267377</v>
      </c>
      <c r="I102" s="467">
        <f>'1.2'!M158</f>
        <v>267377</v>
      </c>
      <c r="J102" s="167">
        <f t="shared" si="3"/>
        <v>1</v>
      </c>
    </row>
    <row r="103" spans="1:10" ht="13.5" customHeight="1">
      <c r="A103" s="199"/>
      <c r="B103" s="196"/>
      <c r="C103" s="140" t="s">
        <v>322</v>
      </c>
      <c r="D103" s="146" t="s">
        <v>323</v>
      </c>
      <c r="E103" s="184">
        <v>0</v>
      </c>
      <c r="F103" s="131">
        <v>0</v>
      </c>
      <c r="G103" s="131">
        <v>0</v>
      </c>
      <c r="H103" s="469">
        <f>'1.2'!M159</f>
        <v>28624</v>
      </c>
      <c r="I103" s="467">
        <f>'1.2'!M159</f>
        <v>28624</v>
      </c>
      <c r="J103" s="167">
        <f t="shared" si="3"/>
        <v>1</v>
      </c>
    </row>
    <row r="104" spans="1:10" ht="14.25" customHeight="1">
      <c r="A104" s="129"/>
      <c r="B104" s="129"/>
      <c r="C104" s="140" t="s">
        <v>250</v>
      </c>
      <c r="D104" s="146" t="s">
        <v>266</v>
      </c>
      <c r="E104" s="184">
        <v>0</v>
      </c>
      <c r="F104" s="131">
        <v>0</v>
      </c>
      <c r="G104" s="131">
        <v>0</v>
      </c>
      <c r="H104" s="469">
        <f>'1.2'!M160</f>
        <v>16828</v>
      </c>
      <c r="I104" s="467">
        <f>'1.2'!M160</f>
        <v>16828</v>
      </c>
      <c r="J104" s="167">
        <f t="shared" si="3"/>
        <v>1</v>
      </c>
    </row>
    <row r="105" spans="1:10" ht="13.5" customHeight="1">
      <c r="A105" s="129"/>
      <c r="B105" s="129"/>
      <c r="C105" s="140" t="s">
        <v>252</v>
      </c>
      <c r="D105" s="146" t="s">
        <v>324</v>
      </c>
      <c r="E105" s="184">
        <v>0</v>
      </c>
      <c r="F105" s="131">
        <v>0</v>
      </c>
      <c r="G105" s="131">
        <v>0</v>
      </c>
      <c r="H105" s="469">
        <f>'1.2'!M161</f>
        <v>13154</v>
      </c>
      <c r="I105" s="467">
        <f>'1.2'!M161</f>
        <v>13154</v>
      </c>
      <c r="J105" s="167">
        <f t="shared" si="3"/>
        <v>1</v>
      </c>
    </row>
    <row r="106" spans="1:10" ht="13.5" customHeight="1">
      <c r="A106" s="199"/>
      <c r="B106" s="196"/>
      <c r="C106" s="140" t="s">
        <v>325</v>
      </c>
      <c r="D106" s="146" t="s">
        <v>326</v>
      </c>
      <c r="E106" s="184">
        <v>0</v>
      </c>
      <c r="F106" s="131">
        <v>0</v>
      </c>
      <c r="G106" s="131">
        <v>0</v>
      </c>
      <c r="H106" s="469">
        <f>'1.2'!M162</f>
        <v>5153</v>
      </c>
      <c r="I106" s="467">
        <f>'1.2'!M162</f>
        <v>5153</v>
      </c>
      <c r="J106" s="167">
        <f t="shared" si="3"/>
        <v>1</v>
      </c>
    </row>
    <row r="107" spans="1:10" ht="13.5" customHeight="1">
      <c r="A107" s="199"/>
      <c r="B107" s="196"/>
      <c r="C107" s="140" t="s">
        <v>228</v>
      </c>
      <c r="D107" s="146" t="s">
        <v>290</v>
      </c>
      <c r="E107" s="184">
        <v>0</v>
      </c>
      <c r="F107" s="131">
        <v>0</v>
      </c>
      <c r="G107" s="131">
        <v>0</v>
      </c>
      <c r="H107" s="469">
        <f>'1.2'!M163</f>
        <v>46740</v>
      </c>
      <c r="I107" s="467">
        <f>'1.2'!M163</f>
        <v>46740</v>
      </c>
      <c r="J107" s="167">
        <f t="shared" si="3"/>
        <v>1</v>
      </c>
    </row>
    <row r="108" spans="1:10" ht="14.25" customHeight="1">
      <c r="A108" s="199"/>
      <c r="B108" s="196"/>
      <c r="C108" s="140" t="s">
        <v>254</v>
      </c>
      <c r="D108" s="146" t="s">
        <v>255</v>
      </c>
      <c r="E108" s="184">
        <v>0</v>
      </c>
      <c r="F108" s="131">
        <v>0</v>
      </c>
      <c r="G108" s="131">
        <v>0</v>
      </c>
      <c r="H108" s="469">
        <f>'1.2'!M164</f>
        <v>4833</v>
      </c>
      <c r="I108" s="467">
        <f>'1.2'!M164</f>
        <v>4833</v>
      </c>
      <c r="J108" s="167">
        <f t="shared" si="3"/>
        <v>1</v>
      </c>
    </row>
    <row r="109" spans="1:10" ht="14.25" customHeight="1">
      <c r="A109" s="199"/>
      <c r="B109" s="196"/>
      <c r="C109" s="140" t="s">
        <v>219</v>
      </c>
      <c r="D109" s="146" t="s">
        <v>220</v>
      </c>
      <c r="E109" s="184">
        <v>0</v>
      </c>
      <c r="F109" s="131">
        <v>0</v>
      </c>
      <c r="G109" s="131">
        <v>0</v>
      </c>
      <c r="H109" s="469">
        <f>'1.2'!M165</f>
        <v>6014</v>
      </c>
      <c r="I109" s="467">
        <f>'1.2'!M165</f>
        <v>6014</v>
      </c>
      <c r="J109" s="167">
        <f t="shared" si="3"/>
        <v>1</v>
      </c>
    </row>
    <row r="110" spans="1:10" ht="15" customHeight="1">
      <c r="A110" s="199"/>
      <c r="B110" s="196"/>
      <c r="C110" s="140" t="s">
        <v>221</v>
      </c>
      <c r="D110" s="146" t="s">
        <v>222</v>
      </c>
      <c r="E110" s="184">
        <v>0</v>
      </c>
      <c r="F110" s="131">
        <v>0</v>
      </c>
      <c r="G110" s="131">
        <v>0</v>
      </c>
      <c r="H110" s="469">
        <f>'1.2'!M167</f>
        <v>733</v>
      </c>
      <c r="I110" s="467">
        <f>'1.2'!M167</f>
        <v>733</v>
      </c>
      <c r="J110" s="167">
        <f t="shared" si="3"/>
        <v>1</v>
      </c>
    </row>
    <row r="111" spans="1:10" ht="15" customHeight="1">
      <c r="A111" s="199"/>
      <c r="B111" s="196"/>
      <c r="C111" s="140" t="s">
        <v>256</v>
      </c>
      <c r="D111" s="146" t="s">
        <v>257</v>
      </c>
      <c r="E111" s="184">
        <v>0</v>
      </c>
      <c r="F111" s="131">
        <v>0</v>
      </c>
      <c r="G111" s="131">
        <v>0</v>
      </c>
      <c r="H111" s="469">
        <f>'1.2'!M168</f>
        <v>10253</v>
      </c>
      <c r="I111" s="467">
        <f>'1.2'!M168</f>
        <v>10253</v>
      </c>
      <c r="J111" s="167">
        <f t="shared" si="3"/>
        <v>1</v>
      </c>
    </row>
    <row r="112" spans="1:10" ht="15" customHeight="1">
      <c r="A112" s="199"/>
      <c r="B112" s="196"/>
      <c r="C112" s="140" t="s">
        <v>267</v>
      </c>
      <c r="D112" s="146" t="s">
        <v>477</v>
      </c>
      <c r="E112" s="184">
        <v>0</v>
      </c>
      <c r="F112" s="131">
        <v>0</v>
      </c>
      <c r="G112" s="131">
        <v>0</v>
      </c>
      <c r="H112" s="469">
        <f>'1.2'!M169</f>
        <v>160</v>
      </c>
      <c r="I112" s="467">
        <f>'1.2'!M169</f>
        <v>160</v>
      </c>
      <c r="J112" s="167">
        <f t="shared" si="3"/>
        <v>1</v>
      </c>
    </row>
    <row r="113" spans="1:10" ht="21.75" customHeight="1" hidden="1">
      <c r="A113" s="200"/>
      <c r="B113" s="126"/>
      <c r="C113" s="140" t="s">
        <v>258</v>
      </c>
      <c r="D113" s="146" t="s">
        <v>492</v>
      </c>
      <c r="E113" s="184">
        <v>0</v>
      </c>
      <c r="F113" s="131">
        <v>0</v>
      </c>
      <c r="G113" s="189">
        <v>0</v>
      </c>
      <c r="H113" s="184">
        <v>0</v>
      </c>
      <c r="I113" s="131"/>
      <c r="J113" s="185" t="e">
        <f t="shared" si="3"/>
        <v>#DIV/0!</v>
      </c>
    </row>
    <row r="114" spans="1:12" ht="21.75" customHeight="1">
      <c r="A114" s="393" t="s">
        <v>308</v>
      </c>
      <c r="B114" s="380" t="s">
        <v>672</v>
      </c>
      <c r="C114" s="381" t="s">
        <v>479</v>
      </c>
      <c r="D114" s="391" t="s">
        <v>88</v>
      </c>
      <c r="E114" s="387">
        <f>'Z1.1'!S86</f>
        <v>19000</v>
      </c>
      <c r="F114" s="388">
        <f>'Z1.1'!T86</f>
        <v>18995</v>
      </c>
      <c r="G114" s="389">
        <f>F114/E114</f>
        <v>0.9997368421052631</v>
      </c>
      <c r="H114" s="394">
        <f>H115</f>
        <v>19000</v>
      </c>
      <c r="I114" s="394">
        <f>I115</f>
        <v>18995</v>
      </c>
      <c r="J114" s="390">
        <f t="shared" si="3"/>
        <v>0.9997368421052631</v>
      </c>
      <c r="L114" s="93"/>
    </row>
    <row r="115" spans="1:12" ht="21.75" customHeight="1">
      <c r="A115" s="200"/>
      <c r="B115" s="126"/>
      <c r="C115" s="140" t="s">
        <v>260</v>
      </c>
      <c r="D115" s="146" t="s">
        <v>480</v>
      </c>
      <c r="E115" s="184">
        <v>0</v>
      </c>
      <c r="F115" s="131">
        <v>0</v>
      </c>
      <c r="G115" s="379">
        <v>0</v>
      </c>
      <c r="H115" s="184">
        <f>'1.2'!K172</f>
        <v>19000</v>
      </c>
      <c r="I115" s="131">
        <f>'1.2'!M172</f>
        <v>18995</v>
      </c>
      <c r="J115" s="167">
        <f t="shared" si="3"/>
        <v>0.9997368421052631</v>
      </c>
      <c r="L115" s="93"/>
    </row>
    <row r="116" spans="1:10" ht="23.25" customHeight="1">
      <c r="A116" s="380" t="s">
        <v>131</v>
      </c>
      <c r="B116" s="380" t="s">
        <v>393</v>
      </c>
      <c r="C116" s="381" t="s">
        <v>475</v>
      </c>
      <c r="D116" s="382" t="s">
        <v>493</v>
      </c>
      <c r="E116" s="387">
        <f>'Z1.1'!S140</f>
        <v>519000</v>
      </c>
      <c r="F116" s="388">
        <f>'Z1.1'!T140</f>
        <v>519000</v>
      </c>
      <c r="G116" s="389">
        <f>F116/E116</f>
        <v>1</v>
      </c>
      <c r="H116" s="387">
        <f>H117</f>
        <v>519000</v>
      </c>
      <c r="I116" s="388">
        <f>I117</f>
        <v>519000</v>
      </c>
      <c r="J116" s="390">
        <f>I116/H116</f>
        <v>1</v>
      </c>
    </row>
    <row r="117" spans="1:10" ht="15.75" customHeight="1">
      <c r="A117" s="129"/>
      <c r="B117" s="129"/>
      <c r="C117" s="140" t="s">
        <v>395</v>
      </c>
      <c r="D117" s="183" t="s">
        <v>494</v>
      </c>
      <c r="E117" s="184">
        <v>0</v>
      </c>
      <c r="F117" s="131">
        <v>0</v>
      </c>
      <c r="G117" s="131">
        <v>0</v>
      </c>
      <c r="H117" s="184">
        <f>'1.2'!K317</f>
        <v>519000</v>
      </c>
      <c r="I117" s="131">
        <f>'1.2'!M317</f>
        <v>519000</v>
      </c>
      <c r="J117" s="167">
        <f>I117/H117</f>
        <v>1</v>
      </c>
    </row>
    <row r="118" spans="1:10" ht="20.25" customHeight="1">
      <c r="A118" s="381" t="s">
        <v>397</v>
      </c>
      <c r="B118" s="381" t="s">
        <v>411</v>
      </c>
      <c r="C118" s="381" t="s">
        <v>475</v>
      </c>
      <c r="D118" s="382" t="s">
        <v>495</v>
      </c>
      <c r="E118" s="387">
        <f>'Z1.1'!S172</f>
        <v>9381</v>
      </c>
      <c r="F118" s="388">
        <f>'Z1.1'!T172</f>
        <v>9381</v>
      </c>
      <c r="G118" s="389">
        <f>F118/E118</f>
        <v>1</v>
      </c>
      <c r="H118" s="387">
        <f>H119</f>
        <v>9381</v>
      </c>
      <c r="I118" s="387">
        <f>I119</f>
        <v>9381</v>
      </c>
      <c r="J118" s="390">
        <f>I118/H118</f>
        <v>1</v>
      </c>
    </row>
    <row r="119" spans="1:10" ht="15" customHeight="1" thickBot="1">
      <c r="A119" s="140"/>
      <c r="B119" s="140"/>
      <c r="C119" s="140" t="s">
        <v>401</v>
      </c>
      <c r="D119" s="183" t="s">
        <v>402</v>
      </c>
      <c r="E119" s="184">
        <v>0</v>
      </c>
      <c r="F119" s="131">
        <v>0</v>
      </c>
      <c r="G119" s="131">
        <v>0</v>
      </c>
      <c r="H119" s="184">
        <f>'1.2'!K362</f>
        <v>9381</v>
      </c>
      <c r="I119" s="131">
        <f>'1.2'!M362</f>
        <v>9381</v>
      </c>
      <c r="J119" s="167">
        <f>I119/H119</f>
        <v>1</v>
      </c>
    </row>
    <row r="120" spans="1:10" ht="21" customHeight="1" thickBot="1">
      <c r="A120" s="852" t="s">
        <v>497</v>
      </c>
      <c r="B120" s="853"/>
      <c r="C120" s="853"/>
      <c r="D120" s="854"/>
      <c r="E120" s="395">
        <f>E16+E22+E28+E30+E32+E43+E45+E56+E85+E114+E116+E118</f>
        <v>2984579</v>
      </c>
      <c r="F120" s="395">
        <f>F16+F22+F28+F30+F32+F43+F45+F56+F85+F114+F116+F118</f>
        <v>2984574</v>
      </c>
      <c r="G120" s="396">
        <f>F120/E120</f>
        <v>0.9999983247218452</v>
      </c>
      <c r="H120" s="395">
        <f>H16+H22+H28+H30+H32+H43+H45+H56+H85+H114+H116+H118</f>
        <v>2984579</v>
      </c>
      <c r="I120" s="395">
        <f>I16+I22+I28+I30+I32+I43+I45+I56+I85+I114+I116+I118</f>
        <v>2984574</v>
      </c>
      <c r="J120" s="397">
        <f>I120/H120</f>
        <v>0.9999983247218452</v>
      </c>
    </row>
    <row r="121" ht="24.75" customHeight="1"/>
  </sheetData>
  <mergeCells count="14">
    <mergeCell ref="B15:H15"/>
    <mergeCell ref="E1:J1"/>
    <mergeCell ref="A120:D120"/>
    <mergeCell ref="E4:E5"/>
    <mergeCell ref="A2:J2"/>
    <mergeCell ref="E3:G3"/>
    <mergeCell ref="A3:C4"/>
    <mergeCell ref="D3:D5"/>
    <mergeCell ref="I4:I5"/>
    <mergeCell ref="H4:H5"/>
    <mergeCell ref="F4:F5"/>
    <mergeCell ref="G4:G5"/>
    <mergeCell ref="H3:J3"/>
    <mergeCell ref="J4:J5"/>
  </mergeCells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scale="8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J41"/>
  <sheetViews>
    <sheetView workbookViewId="0" topLeftCell="A23">
      <selection activeCell="E1" sqref="E1:H1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25390625" style="0" customWidth="1"/>
    <col min="4" max="4" width="25.25390625" style="0" customWidth="1"/>
    <col min="5" max="5" width="8.875" style="0" customWidth="1"/>
    <col min="6" max="6" width="8.625" style="0" customWidth="1"/>
    <col min="7" max="7" width="8.75390625" style="0" customWidth="1"/>
    <col min="8" max="8" width="9.75390625" style="0" customWidth="1"/>
    <col min="9" max="9" width="8.75390625" style="0" customWidth="1"/>
    <col min="10" max="10" width="8.125" style="0" customWidth="1"/>
  </cols>
  <sheetData>
    <row r="1" spans="4:8" ht="40.5" customHeight="1">
      <c r="D1" s="203"/>
      <c r="E1" s="863" t="s">
        <v>498</v>
      </c>
      <c r="F1" s="863"/>
      <c r="G1" s="863"/>
      <c r="H1" s="863"/>
    </row>
    <row r="2" spans="5:8" ht="12.75">
      <c r="E2" s="203"/>
      <c r="F2" s="203"/>
      <c r="G2" s="203"/>
      <c r="H2" s="203"/>
    </row>
    <row r="3" spans="1:8" ht="13.5" thickBot="1">
      <c r="A3" s="868" t="s">
        <v>499</v>
      </c>
      <c r="B3" s="868"/>
      <c r="C3" s="868"/>
      <c r="D3" s="868"/>
      <c r="E3" s="868"/>
      <c r="F3" s="868"/>
      <c r="G3" s="868"/>
      <c r="H3" s="868"/>
    </row>
    <row r="4" spans="1:10" ht="12.75">
      <c r="A4" s="869" t="s">
        <v>3</v>
      </c>
      <c r="B4" s="870"/>
      <c r="C4" s="871"/>
      <c r="D4" s="870" t="s">
        <v>460</v>
      </c>
      <c r="E4" s="880" t="s">
        <v>500</v>
      </c>
      <c r="F4" s="880"/>
      <c r="G4" s="880"/>
      <c r="H4" s="880" t="s">
        <v>462</v>
      </c>
      <c r="I4" s="880"/>
      <c r="J4" s="881"/>
    </row>
    <row r="5" spans="1:10" ht="12.75" customHeight="1">
      <c r="A5" s="872"/>
      <c r="B5" s="873"/>
      <c r="C5" s="874"/>
      <c r="D5" s="873"/>
      <c r="E5" s="876" t="s">
        <v>710</v>
      </c>
      <c r="F5" s="878" t="s">
        <v>501</v>
      </c>
      <c r="G5" s="878" t="s">
        <v>464</v>
      </c>
      <c r="H5" s="876" t="s">
        <v>710</v>
      </c>
      <c r="I5" s="878" t="s">
        <v>501</v>
      </c>
      <c r="J5" s="878" t="s">
        <v>502</v>
      </c>
    </row>
    <row r="6" spans="1:10" ht="23.25" customHeight="1" thickBot="1">
      <c r="A6" s="204" t="s">
        <v>465</v>
      </c>
      <c r="B6" s="205" t="s">
        <v>20</v>
      </c>
      <c r="C6" s="206" t="s">
        <v>21</v>
      </c>
      <c r="D6" s="875"/>
      <c r="E6" s="877"/>
      <c r="F6" s="879"/>
      <c r="G6" s="879"/>
      <c r="H6" s="877"/>
      <c r="I6" s="879"/>
      <c r="J6" s="879"/>
    </row>
    <row r="7" spans="1:10" ht="12.75">
      <c r="A7" s="399">
        <v>1</v>
      </c>
      <c r="B7" s="400">
        <v>2</v>
      </c>
      <c r="C7" s="400">
        <v>3</v>
      </c>
      <c r="D7" s="401">
        <v>4</v>
      </c>
      <c r="E7" s="400">
        <v>5</v>
      </c>
      <c r="F7" s="402">
        <v>6</v>
      </c>
      <c r="G7" s="402">
        <v>7</v>
      </c>
      <c r="H7" s="401">
        <v>8</v>
      </c>
      <c r="I7" s="403">
        <v>9</v>
      </c>
      <c r="J7" s="403">
        <v>10</v>
      </c>
    </row>
    <row r="8" spans="1:10" ht="12.75">
      <c r="A8" s="404">
        <v>801</v>
      </c>
      <c r="B8" s="404"/>
      <c r="C8" s="404"/>
      <c r="D8" s="472" t="s">
        <v>119</v>
      </c>
      <c r="E8" s="404">
        <f>E9</f>
        <v>1100</v>
      </c>
      <c r="F8" s="404">
        <f>F9</f>
        <v>1100</v>
      </c>
      <c r="G8" s="414">
        <f>F8/E8</f>
        <v>1</v>
      </c>
      <c r="H8" s="404">
        <f>H10</f>
        <v>1100</v>
      </c>
      <c r="I8" s="404">
        <f>I10</f>
        <v>1100</v>
      </c>
      <c r="J8" s="414">
        <f>I8/H8</f>
        <v>1</v>
      </c>
    </row>
    <row r="9" spans="1:10" ht="12.75">
      <c r="A9" s="412"/>
      <c r="B9" s="412">
        <v>80195</v>
      </c>
      <c r="C9" s="412">
        <v>2130</v>
      </c>
      <c r="D9" s="424" t="s">
        <v>33</v>
      </c>
      <c r="E9" s="412">
        <f>'Z1.1'!S122</f>
        <v>1100</v>
      </c>
      <c r="F9" s="412">
        <f>'Z1.1'!T122</f>
        <v>1100</v>
      </c>
      <c r="G9" s="415">
        <f>F9/E9</f>
        <v>1</v>
      </c>
      <c r="H9" s="412">
        <v>0</v>
      </c>
      <c r="I9" s="412">
        <v>0</v>
      </c>
      <c r="J9" s="412">
        <v>0</v>
      </c>
    </row>
    <row r="10" spans="1:10" ht="12.75">
      <c r="A10" s="412"/>
      <c r="B10" s="412">
        <v>80145</v>
      </c>
      <c r="C10" s="412"/>
      <c r="D10" s="424" t="s">
        <v>384</v>
      </c>
      <c r="E10" s="412"/>
      <c r="F10" s="412"/>
      <c r="G10" s="412"/>
      <c r="H10" s="412">
        <f>H11</f>
        <v>1100</v>
      </c>
      <c r="I10" s="412">
        <f>I11</f>
        <v>1100</v>
      </c>
      <c r="J10" s="415">
        <f>I10/H10</f>
        <v>1</v>
      </c>
    </row>
    <row r="11" spans="1:10" ht="12.75">
      <c r="A11" s="405"/>
      <c r="B11" s="208"/>
      <c r="C11" s="398">
        <v>4170</v>
      </c>
      <c r="D11" s="373" t="s">
        <v>666</v>
      </c>
      <c r="E11" s="413">
        <v>0</v>
      </c>
      <c r="F11" s="413">
        <v>0</v>
      </c>
      <c r="G11" s="413">
        <v>0</v>
      </c>
      <c r="H11" s="413">
        <v>1100</v>
      </c>
      <c r="I11" s="413">
        <v>1100</v>
      </c>
      <c r="J11" s="421">
        <f>I11/H11</f>
        <v>1</v>
      </c>
    </row>
    <row r="12" spans="1:10" ht="12" customHeight="1">
      <c r="A12" s="406">
        <v>852</v>
      </c>
      <c r="B12" s="407"/>
      <c r="C12" s="408"/>
      <c r="D12" s="474" t="s">
        <v>711</v>
      </c>
      <c r="E12" s="409">
        <f>E13+E28</f>
        <v>720310</v>
      </c>
      <c r="F12" s="409">
        <f>F13+F28</f>
        <v>720310</v>
      </c>
      <c r="G12" s="410">
        <f>F12/E12</f>
        <v>1</v>
      </c>
      <c r="H12" s="411">
        <f>H13+H28</f>
        <v>720310</v>
      </c>
      <c r="I12" s="411">
        <f>I13+I28</f>
        <v>720310</v>
      </c>
      <c r="J12" s="416">
        <f>I12/H12</f>
        <v>1</v>
      </c>
    </row>
    <row r="13" spans="1:10" ht="12.75">
      <c r="A13" s="412"/>
      <c r="B13" s="417">
        <v>85202</v>
      </c>
      <c r="C13" s="412">
        <v>2130</v>
      </c>
      <c r="D13" s="475" t="s">
        <v>151</v>
      </c>
      <c r="E13" s="418">
        <f>'Z1.1'!S150</f>
        <v>666240</v>
      </c>
      <c r="F13" s="418">
        <f>'Z1.1'!T150</f>
        <v>666240</v>
      </c>
      <c r="G13" s="419">
        <f>F13/E13</f>
        <v>1</v>
      </c>
      <c r="H13" s="420">
        <f>H14+H15+H16+H17+H18+H19+H20+H21+H22+H23+H24+H25+H26+H27</f>
        <v>666240</v>
      </c>
      <c r="I13" s="420">
        <f>I14+I15+I16+I17+I18+I19+I20+I21+I22+I23+I24+I25+I26+I27</f>
        <v>666240</v>
      </c>
      <c r="J13" s="71">
        <f aca="true" t="shared" si="0" ref="J13:J27">I13/H13</f>
        <v>1</v>
      </c>
    </row>
    <row r="14" spans="1:10" ht="12.75">
      <c r="A14" s="211"/>
      <c r="B14" s="212"/>
      <c r="C14" s="219">
        <v>4010</v>
      </c>
      <c r="D14" s="426" t="s">
        <v>287</v>
      </c>
      <c r="E14" s="213">
        <v>0</v>
      </c>
      <c r="F14" s="213">
        <v>0</v>
      </c>
      <c r="G14" s="213">
        <v>0</v>
      </c>
      <c r="H14" s="214">
        <v>374026</v>
      </c>
      <c r="I14" s="90">
        <v>374026</v>
      </c>
      <c r="J14" s="37">
        <f t="shared" si="0"/>
        <v>1</v>
      </c>
    </row>
    <row r="15" spans="1:10" ht="12.75">
      <c r="A15" s="215"/>
      <c r="B15" s="216"/>
      <c r="C15" s="219">
        <v>4040</v>
      </c>
      <c r="D15" s="426" t="s">
        <v>484</v>
      </c>
      <c r="E15" s="213">
        <v>0</v>
      </c>
      <c r="F15" s="213">
        <v>0</v>
      </c>
      <c r="G15" s="213">
        <v>0</v>
      </c>
      <c r="H15" s="214">
        <v>28399</v>
      </c>
      <c r="I15" s="90">
        <v>28399</v>
      </c>
      <c r="J15" s="37">
        <f t="shared" si="0"/>
        <v>1</v>
      </c>
    </row>
    <row r="16" spans="1:10" ht="12.75">
      <c r="A16" s="215"/>
      <c r="B16" s="216"/>
      <c r="C16" s="220">
        <v>4110</v>
      </c>
      <c r="D16" s="426" t="s">
        <v>288</v>
      </c>
      <c r="E16" s="213">
        <v>0</v>
      </c>
      <c r="F16" s="213">
        <v>0</v>
      </c>
      <c r="G16" s="213">
        <v>0</v>
      </c>
      <c r="H16" s="214">
        <v>62547</v>
      </c>
      <c r="I16" s="90">
        <v>62547</v>
      </c>
      <c r="J16" s="37">
        <f t="shared" si="0"/>
        <v>1</v>
      </c>
    </row>
    <row r="17" spans="1:10" ht="12.75">
      <c r="A17" s="215"/>
      <c r="B17" s="216"/>
      <c r="C17" s="220">
        <v>4120</v>
      </c>
      <c r="D17" s="426" t="s">
        <v>245</v>
      </c>
      <c r="E17" s="213">
        <v>0</v>
      </c>
      <c r="F17" s="213">
        <v>0</v>
      </c>
      <c r="G17" s="213">
        <v>0</v>
      </c>
      <c r="H17" s="214">
        <v>9361</v>
      </c>
      <c r="I17" s="90">
        <v>9361</v>
      </c>
      <c r="J17" s="37">
        <f t="shared" si="0"/>
        <v>1</v>
      </c>
    </row>
    <row r="18" spans="1:10" ht="12.75">
      <c r="A18" s="211"/>
      <c r="B18" s="212"/>
      <c r="C18" s="219">
        <v>4210</v>
      </c>
      <c r="D18" s="426" t="s">
        <v>226</v>
      </c>
      <c r="E18" s="213">
        <v>0</v>
      </c>
      <c r="F18" s="213">
        <v>0</v>
      </c>
      <c r="G18" s="213">
        <v>0</v>
      </c>
      <c r="H18" s="214">
        <v>71008</v>
      </c>
      <c r="I18" s="90">
        <v>71008</v>
      </c>
      <c r="J18" s="37">
        <f t="shared" si="0"/>
        <v>1</v>
      </c>
    </row>
    <row r="19" spans="1:10" ht="12.75">
      <c r="A19" s="215"/>
      <c r="B19" s="216"/>
      <c r="C19" s="221">
        <v>4220</v>
      </c>
      <c r="D19" s="473" t="s">
        <v>321</v>
      </c>
      <c r="E19" s="222">
        <v>0</v>
      </c>
      <c r="F19" s="222">
        <v>0</v>
      </c>
      <c r="G19" s="213">
        <v>0</v>
      </c>
      <c r="H19" s="223">
        <v>7877</v>
      </c>
      <c r="I19" s="90">
        <v>7877</v>
      </c>
      <c r="J19" s="37">
        <f t="shared" si="0"/>
        <v>1</v>
      </c>
    </row>
    <row r="20" spans="1:10" ht="12.75">
      <c r="A20" s="224"/>
      <c r="B20" s="224"/>
      <c r="C20" s="225">
        <v>4230</v>
      </c>
      <c r="D20" s="426" t="s">
        <v>503</v>
      </c>
      <c r="E20" s="213">
        <v>0</v>
      </c>
      <c r="F20" s="213">
        <v>0</v>
      </c>
      <c r="G20" s="213">
        <v>0</v>
      </c>
      <c r="H20" s="214">
        <v>3805</v>
      </c>
      <c r="I20" s="90">
        <v>3805</v>
      </c>
      <c r="J20" s="37">
        <f t="shared" si="0"/>
        <v>1</v>
      </c>
    </row>
    <row r="21" spans="1:10" ht="12.75">
      <c r="A21" s="224"/>
      <c r="B21" s="224"/>
      <c r="C21" s="225">
        <v>4260</v>
      </c>
      <c r="D21" s="426" t="s">
        <v>266</v>
      </c>
      <c r="E21" s="213">
        <v>0</v>
      </c>
      <c r="F21" s="213">
        <v>0</v>
      </c>
      <c r="G21" s="213">
        <v>0</v>
      </c>
      <c r="H21" s="214">
        <v>47026</v>
      </c>
      <c r="I21" s="90">
        <v>47026</v>
      </c>
      <c r="J21" s="37">
        <f t="shared" si="0"/>
        <v>1</v>
      </c>
    </row>
    <row r="22" spans="1:10" ht="12.75">
      <c r="A22" s="215"/>
      <c r="B22" s="216"/>
      <c r="C22" s="219">
        <v>4300</v>
      </c>
      <c r="D22" s="426" t="s">
        <v>290</v>
      </c>
      <c r="E22" s="213">
        <v>0</v>
      </c>
      <c r="F22" s="213">
        <v>0</v>
      </c>
      <c r="G22" s="213">
        <v>0</v>
      </c>
      <c r="H22" s="214">
        <v>45502</v>
      </c>
      <c r="I22" s="90">
        <v>45502</v>
      </c>
      <c r="J22" s="37">
        <f t="shared" si="0"/>
        <v>1</v>
      </c>
    </row>
    <row r="23" spans="1:10" ht="12.75">
      <c r="A23" s="215"/>
      <c r="B23" s="216"/>
      <c r="C23" s="219">
        <v>4410</v>
      </c>
      <c r="D23" s="426" t="s">
        <v>255</v>
      </c>
      <c r="E23" s="213"/>
      <c r="F23" s="213"/>
      <c r="G23" s="213"/>
      <c r="H23" s="214">
        <v>600</v>
      </c>
      <c r="I23" s="90">
        <v>600</v>
      </c>
      <c r="J23" s="37">
        <f t="shared" si="0"/>
        <v>1</v>
      </c>
    </row>
    <row r="24" spans="1:10" ht="12.75">
      <c r="A24" s="215"/>
      <c r="B24" s="216"/>
      <c r="C24" s="219">
        <v>4430</v>
      </c>
      <c r="D24" s="426" t="s">
        <v>220</v>
      </c>
      <c r="E24" s="213">
        <v>0</v>
      </c>
      <c r="F24" s="213">
        <v>0</v>
      </c>
      <c r="G24" s="213">
        <v>0</v>
      </c>
      <c r="H24" s="214">
        <v>0</v>
      </c>
      <c r="I24" s="90">
        <v>0</v>
      </c>
      <c r="J24" s="37">
        <v>0</v>
      </c>
    </row>
    <row r="25" spans="1:10" ht="12.75">
      <c r="A25" s="215"/>
      <c r="B25" s="216"/>
      <c r="C25" s="219">
        <v>4440</v>
      </c>
      <c r="D25" s="426" t="s">
        <v>222</v>
      </c>
      <c r="E25" s="213">
        <v>0</v>
      </c>
      <c r="F25" s="213">
        <v>0</v>
      </c>
      <c r="G25" s="213">
        <v>0</v>
      </c>
      <c r="H25" s="214">
        <v>14350</v>
      </c>
      <c r="I25" s="90">
        <v>14350</v>
      </c>
      <c r="J25" s="37">
        <f t="shared" si="0"/>
        <v>1</v>
      </c>
    </row>
    <row r="26" spans="1:10" ht="12.75">
      <c r="A26" s="215"/>
      <c r="B26" s="216"/>
      <c r="C26" s="219">
        <v>4480</v>
      </c>
      <c r="D26" s="426" t="s">
        <v>257</v>
      </c>
      <c r="E26" s="213">
        <v>0</v>
      </c>
      <c r="F26" s="213">
        <v>0</v>
      </c>
      <c r="G26" s="213">
        <v>0</v>
      </c>
      <c r="H26" s="214">
        <v>1313</v>
      </c>
      <c r="I26" s="90">
        <v>1313</v>
      </c>
      <c r="J26" s="37">
        <f t="shared" si="0"/>
        <v>1</v>
      </c>
    </row>
    <row r="27" spans="1:10" ht="12.75">
      <c r="A27" s="217"/>
      <c r="B27" s="218"/>
      <c r="C27" s="219">
        <v>4520</v>
      </c>
      <c r="D27" s="426" t="s">
        <v>270</v>
      </c>
      <c r="E27" s="213">
        <v>0</v>
      </c>
      <c r="F27" s="213">
        <v>0</v>
      </c>
      <c r="G27" s="213">
        <v>0</v>
      </c>
      <c r="H27" s="214">
        <v>426</v>
      </c>
      <c r="I27" s="90">
        <v>426</v>
      </c>
      <c r="J27" s="37">
        <f t="shared" si="0"/>
        <v>1</v>
      </c>
    </row>
    <row r="28" spans="1:10" ht="45">
      <c r="A28" s="422"/>
      <c r="B28" s="422">
        <v>85220</v>
      </c>
      <c r="C28" s="412">
        <v>2130</v>
      </c>
      <c r="D28" s="425" t="s">
        <v>712</v>
      </c>
      <c r="E28" s="418">
        <f>'Z1.1'!S178</f>
        <v>54070</v>
      </c>
      <c r="F28" s="418">
        <f>'Z1.1'!T178</f>
        <v>54070</v>
      </c>
      <c r="G28" s="419">
        <f>F28/E28</f>
        <v>1</v>
      </c>
      <c r="H28" s="420">
        <f>H29+H30+H31+H32</f>
        <v>54070</v>
      </c>
      <c r="I28" s="420">
        <f>I29+I30+I31+I32</f>
        <v>54070</v>
      </c>
      <c r="J28" s="419">
        <v>0</v>
      </c>
    </row>
    <row r="29" spans="1:10" ht="12.75">
      <c r="A29" s="224"/>
      <c r="B29" s="227"/>
      <c r="C29" s="226">
        <v>4210</v>
      </c>
      <c r="D29" s="423" t="s">
        <v>725</v>
      </c>
      <c r="E29" s="213">
        <v>0</v>
      </c>
      <c r="F29" s="213">
        <v>0</v>
      </c>
      <c r="G29" s="213">
        <v>0</v>
      </c>
      <c r="H29" s="214">
        <f>'1.2'!K378</f>
        <v>34371</v>
      </c>
      <c r="I29" s="214">
        <f>'1.2'!L378</f>
        <v>34371</v>
      </c>
      <c r="J29" s="45">
        <f>I29/H29</f>
        <v>1</v>
      </c>
    </row>
    <row r="30" spans="1:10" ht="12.75">
      <c r="A30" s="224"/>
      <c r="B30" s="224"/>
      <c r="C30" s="226">
        <v>4260</v>
      </c>
      <c r="D30" s="426" t="s">
        <v>266</v>
      </c>
      <c r="E30" s="213">
        <v>0</v>
      </c>
      <c r="F30" s="213">
        <v>0</v>
      </c>
      <c r="G30" s="213">
        <v>0</v>
      </c>
      <c r="H30" s="214">
        <v>0</v>
      </c>
      <c r="I30" s="53">
        <v>0</v>
      </c>
      <c r="J30" s="37">
        <v>0</v>
      </c>
    </row>
    <row r="31" spans="1:10" ht="12.75">
      <c r="A31" s="224"/>
      <c r="B31" s="224"/>
      <c r="C31" s="226">
        <v>4270</v>
      </c>
      <c r="D31" s="426" t="s">
        <v>324</v>
      </c>
      <c r="E31" s="213">
        <v>0</v>
      </c>
      <c r="F31" s="213">
        <v>0</v>
      </c>
      <c r="G31" s="213">
        <v>0</v>
      </c>
      <c r="H31" s="214">
        <f>'1.2'!K379</f>
        <v>19699</v>
      </c>
      <c r="I31" s="90">
        <f>'1.2'!N379</f>
        <v>19699</v>
      </c>
      <c r="J31" s="37">
        <f>I31/H31</f>
        <v>1</v>
      </c>
    </row>
    <row r="32" spans="1:10" ht="12.75">
      <c r="A32" s="224"/>
      <c r="B32" s="224"/>
      <c r="C32" s="226">
        <v>4300</v>
      </c>
      <c r="D32" s="426" t="s">
        <v>504</v>
      </c>
      <c r="E32" s="213">
        <v>0</v>
      </c>
      <c r="F32" s="213">
        <v>0</v>
      </c>
      <c r="G32" s="214">
        <v>0</v>
      </c>
      <c r="H32" s="214">
        <v>0</v>
      </c>
      <c r="I32" s="214">
        <v>0</v>
      </c>
      <c r="J32" s="37">
        <v>0</v>
      </c>
    </row>
    <row r="33" spans="1:10" ht="18.75" customHeight="1">
      <c r="A33" s="865" t="s">
        <v>505</v>
      </c>
      <c r="B33" s="866"/>
      <c r="C33" s="866"/>
      <c r="D33" s="867"/>
      <c r="E33" s="46">
        <f>E8+E12</f>
        <v>721410</v>
      </c>
      <c r="F33" s="46">
        <f>F8+F12</f>
        <v>721410</v>
      </c>
      <c r="G33" s="210">
        <f>F33/E33</f>
        <v>1</v>
      </c>
      <c r="H33" s="46">
        <f>H8+H12</f>
        <v>721410</v>
      </c>
      <c r="I33" s="46">
        <f>I8+I12</f>
        <v>721410</v>
      </c>
      <c r="J33" s="37">
        <f>I33/H33</f>
        <v>1</v>
      </c>
    </row>
    <row r="34" ht="12.75">
      <c r="C34" s="228"/>
    </row>
    <row r="35" spans="1:3" ht="12.75">
      <c r="A35" t="s">
        <v>506</v>
      </c>
      <c r="C35" s="228"/>
    </row>
    <row r="36" spans="1:3" ht="12.75">
      <c r="A36" t="s">
        <v>507</v>
      </c>
      <c r="C36" s="228"/>
    </row>
    <row r="37" spans="1:8" ht="20.25" customHeight="1">
      <c r="A37" s="864"/>
      <c r="B37" s="864"/>
      <c r="C37" s="864"/>
      <c r="D37" s="864"/>
      <c r="E37" s="864"/>
      <c r="F37" s="864"/>
      <c r="G37" s="864"/>
      <c r="H37" s="864"/>
    </row>
    <row r="38" spans="3:7" ht="12.75">
      <c r="C38" s="228"/>
      <c r="E38" s="118"/>
      <c r="F38" s="118"/>
      <c r="G38" s="118"/>
    </row>
    <row r="39" ht="12.75">
      <c r="C39" s="228"/>
    </row>
    <row r="40" ht="12.75">
      <c r="C40" s="228"/>
    </row>
    <row r="41" ht="12.75">
      <c r="C41" s="228"/>
    </row>
  </sheetData>
  <mergeCells count="14">
    <mergeCell ref="I5:I6"/>
    <mergeCell ref="J5:J6"/>
    <mergeCell ref="H4:J4"/>
    <mergeCell ref="G5:G6"/>
    <mergeCell ref="E4:G4"/>
    <mergeCell ref="F5:F6"/>
    <mergeCell ref="H5:H6"/>
    <mergeCell ref="E1:H1"/>
    <mergeCell ref="A37:H37"/>
    <mergeCell ref="A33:D33"/>
    <mergeCell ref="A3:H3"/>
    <mergeCell ref="A4:C5"/>
    <mergeCell ref="D4:D6"/>
    <mergeCell ref="E5:E6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J80"/>
  <sheetViews>
    <sheetView workbookViewId="0" topLeftCell="A2">
      <selection activeCell="A2" sqref="A2:J2"/>
    </sheetView>
  </sheetViews>
  <sheetFormatPr defaultColWidth="9.00390625" defaultRowHeight="12.75"/>
  <cols>
    <col min="1" max="1" width="5.125" style="0" customWidth="1"/>
    <col min="2" max="2" width="7.625" style="0" customWidth="1"/>
    <col min="3" max="3" width="7.25390625" style="0" customWidth="1"/>
    <col min="4" max="4" width="32.75390625" style="0" customWidth="1"/>
    <col min="7" max="7" width="9.25390625" style="0" bestFit="1" customWidth="1"/>
    <col min="8" max="8" width="10.00390625" style="0" customWidth="1"/>
  </cols>
  <sheetData>
    <row r="1" spans="3:9" ht="15" customHeight="1">
      <c r="C1" s="884"/>
      <c r="D1" s="884"/>
      <c r="E1" s="884"/>
      <c r="F1" s="884"/>
      <c r="G1" s="884"/>
      <c r="H1" s="884"/>
      <c r="I1" s="118" t="s">
        <v>508</v>
      </c>
    </row>
    <row r="2" spans="1:10" ht="90" customHeight="1" thickBot="1">
      <c r="A2" s="894" t="s">
        <v>766</v>
      </c>
      <c r="B2" s="894"/>
      <c r="C2" s="894"/>
      <c r="D2" s="894"/>
      <c r="E2" s="894"/>
      <c r="F2" s="894"/>
      <c r="G2" s="894"/>
      <c r="H2" s="894"/>
      <c r="I2" s="894"/>
      <c r="J2" s="894"/>
    </row>
    <row r="3" spans="1:10" ht="21" customHeight="1" thickBot="1">
      <c r="A3" s="889" t="s">
        <v>3</v>
      </c>
      <c r="B3" s="890"/>
      <c r="C3" s="890"/>
      <c r="D3" s="871" t="s">
        <v>460</v>
      </c>
      <c r="E3" s="885" t="s">
        <v>500</v>
      </c>
      <c r="F3" s="886"/>
      <c r="G3" s="887"/>
      <c r="H3" s="885" t="s">
        <v>462</v>
      </c>
      <c r="I3" s="886"/>
      <c r="J3" s="888"/>
    </row>
    <row r="4" spans="1:10" ht="12" customHeight="1">
      <c r="A4" s="891"/>
      <c r="B4" s="892"/>
      <c r="C4" s="892"/>
      <c r="D4" s="874"/>
      <c r="E4" s="882" t="s">
        <v>710</v>
      </c>
      <c r="F4" s="882" t="s">
        <v>501</v>
      </c>
      <c r="G4" s="882" t="s">
        <v>464</v>
      </c>
      <c r="H4" s="882" t="s">
        <v>710</v>
      </c>
      <c r="I4" s="882" t="s">
        <v>501</v>
      </c>
      <c r="J4" s="882" t="s">
        <v>502</v>
      </c>
    </row>
    <row r="5" spans="1:10" ht="25.5" customHeight="1" thickBot="1">
      <c r="A5" s="476" t="s">
        <v>465</v>
      </c>
      <c r="B5" s="477" t="s">
        <v>20</v>
      </c>
      <c r="C5" s="477" t="s">
        <v>21</v>
      </c>
      <c r="D5" s="893"/>
      <c r="E5" s="883"/>
      <c r="F5" s="883"/>
      <c r="G5" s="883"/>
      <c r="H5" s="883"/>
      <c r="I5" s="883"/>
      <c r="J5" s="883"/>
    </row>
    <row r="6" spans="1:10" s="482" customFormat="1" ht="11.25" customHeight="1" thickBot="1">
      <c r="A6" s="155">
        <v>1</v>
      </c>
      <c r="B6" s="156">
        <v>2</v>
      </c>
      <c r="C6" s="156">
        <v>3</v>
      </c>
      <c r="D6" s="478">
        <v>4</v>
      </c>
      <c r="E6" s="155">
        <v>5</v>
      </c>
      <c r="F6" s="156">
        <v>6</v>
      </c>
      <c r="G6" s="157">
        <v>7</v>
      </c>
      <c r="H6" s="479">
        <v>8</v>
      </c>
      <c r="I6" s="480">
        <v>9</v>
      </c>
      <c r="J6" s="481">
        <v>10</v>
      </c>
    </row>
    <row r="7" spans="1:10" ht="15.75" customHeight="1">
      <c r="A7" s="483" t="s">
        <v>24</v>
      </c>
      <c r="B7" s="483" t="s">
        <v>34</v>
      </c>
      <c r="C7" s="484">
        <v>2310</v>
      </c>
      <c r="D7" s="644" t="s">
        <v>33</v>
      </c>
      <c r="E7" s="485">
        <f>E9</f>
        <v>0</v>
      </c>
      <c r="F7" s="485">
        <f>F9</f>
        <v>0</v>
      </c>
      <c r="G7" s="485">
        <f>G9</f>
        <v>0</v>
      </c>
      <c r="H7" s="485">
        <f>H9</f>
        <v>1700</v>
      </c>
      <c r="I7" s="485">
        <f>I9</f>
        <v>1700</v>
      </c>
      <c r="J7" s="486">
        <f>I7/H7</f>
        <v>1</v>
      </c>
    </row>
    <row r="8" spans="1:10" ht="9.75" customHeight="1">
      <c r="A8" s="226"/>
      <c r="B8" s="226"/>
      <c r="C8" s="226"/>
      <c r="D8" s="230" t="s">
        <v>509</v>
      </c>
      <c r="E8" s="30"/>
      <c r="F8" s="227"/>
      <c r="G8" s="231"/>
      <c r="H8" s="30"/>
      <c r="I8" s="33"/>
      <c r="J8" s="38"/>
    </row>
    <row r="9" spans="1:10" ht="15" customHeight="1">
      <c r="A9" s="226"/>
      <c r="B9" s="226"/>
      <c r="C9" s="226">
        <v>2310</v>
      </c>
      <c r="D9" s="232" t="s">
        <v>514</v>
      </c>
      <c r="E9" s="30">
        <v>0</v>
      </c>
      <c r="F9" s="227">
        <v>0</v>
      </c>
      <c r="G9" s="227">
        <v>0</v>
      </c>
      <c r="H9" s="30">
        <f>'1.2'!K19</f>
        <v>1700</v>
      </c>
      <c r="I9" s="33">
        <f>'1.2'!O19</f>
        <v>1700</v>
      </c>
      <c r="J9" s="38">
        <f>I9/H9</f>
        <v>1</v>
      </c>
    </row>
    <row r="10" spans="1:10" ht="13.5" customHeight="1">
      <c r="A10" s="487">
        <v>600</v>
      </c>
      <c r="B10" s="488">
        <v>60014</v>
      </c>
      <c r="C10" s="487">
        <v>2310</v>
      </c>
      <c r="D10" s="643" t="s">
        <v>511</v>
      </c>
      <c r="E10" s="490">
        <f>E12+E13</f>
        <v>5225</v>
      </c>
      <c r="F10" s="490">
        <f>F12+F13</f>
        <v>5225</v>
      </c>
      <c r="G10" s="585">
        <f>F10/E10</f>
        <v>1</v>
      </c>
      <c r="H10" s="490">
        <f>H13</f>
        <v>50000</v>
      </c>
      <c r="I10" s="490">
        <f>I13</f>
        <v>50000</v>
      </c>
      <c r="J10" s="494">
        <f>I10/H10</f>
        <v>1</v>
      </c>
    </row>
    <row r="11" spans="1:10" ht="12" customHeight="1">
      <c r="A11" s="226"/>
      <c r="B11" s="226"/>
      <c r="C11" s="226"/>
      <c r="D11" s="232" t="s">
        <v>509</v>
      </c>
      <c r="E11" s="30"/>
      <c r="F11" s="227"/>
      <c r="G11" s="231"/>
      <c r="H11" s="30"/>
      <c r="I11" s="33"/>
      <c r="J11" s="38"/>
    </row>
    <row r="12" spans="1:10" ht="12" customHeight="1">
      <c r="A12" s="226"/>
      <c r="B12" s="226"/>
      <c r="C12" s="226">
        <v>2310</v>
      </c>
      <c r="D12" s="238" t="s">
        <v>512</v>
      </c>
      <c r="E12" s="30">
        <v>5225</v>
      </c>
      <c r="F12" s="227">
        <v>5225</v>
      </c>
      <c r="G12" s="231">
        <f>F12/E12</f>
        <v>1</v>
      </c>
      <c r="H12" s="30">
        <v>0</v>
      </c>
      <c r="I12" s="33">
        <v>0</v>
      </c>
      <c r="J12" s="38">
        <v>0</v>
      </c>
    </row>
    <row r="13" spans="1:10" ht="15" customHeight="1">
      <c r="A13" s="76"/>
      <c r="B13" s="76"/>
      <c r="C13" s="226">
        <v>2310</v>
      </c>
      <c r="D13" s="232" t="s">
        <v>510</v>
      </c>
      <c r="E13" s="30">
        <v>0</v>
      </c>
      <c r="F13" s="227">
        <v>0</v>
      </c>
      <c r="G13" s="227">
        <v>0</v>
      </c>
      <c r="H13" s="30">
        <f>'1.2'!K49</f>
        <v>50000</v>
      </c>
      <c r="I13" s="33">
        <f>'1.2'!O49</f>
        <v>50000</v>
      </c>
      <c r="J13" s="38">
        <f>I13/H13</f>
        <v>1</v>
      </c>
    </row>
    <row r="14" spans="1:10" ht="15" customHeight="1">
      <c r="A14" s="487">
        <v>600</v>
      </c>
      <c r="B14" s="487">
        <v>60014</v>
      </c>
      <c r="C14" s="487">
        <v>6610</v>
      </c>
      <c r="D14" s="643" t="s">
        <v>511</v>
      </c>
      <c r="E14" s="490">
        <f>E16+E17+E18+E19+E20</f>
        <v>229104</v>
      </c>
      <c r="F14" s="490">
        <f>F16+F17+F18+F19+F20</f>
        <v>229104</v>
      </c>
      <c r="G14" s="493">
        <f>F14/E14</f>
        <v>1</v>
      </c>
      <c r="H14" s="490">
        <f>H16</f>
        <v>8880</v>
      </c>
      <c r="I14" s="490">
        <f>I16</f>
        <v>8880</v>
      </c>
      <c r="J14" s="494">
        <v>0</v>
      </c>
    </row>
    <row r="15" spans="1:10" ht="12" customHeight="1">
      <c r="A15" s="76"/>
      <c r="B15" s="76"/>
      <c r="C15" s="226"/>
      <c r="D15" s="232" t="s">
        <v>509</v>
      </c>
      <c r="E15" s="30"/>
      <c r="F15" s="227"/>
      <c r="G15" s="231"/>
      <c r="H15" s="30"/>
      <c r="I15" s="33"/>
      <c r="J15" s="38"/>
    </row>
    <row r="16" spans="1:10" ht="15" customHeight="1">
      <c r="A16" s="76"/>
      <c r="B16" s="76"/>
      <c r="C16" s="226">
        <v>6610</v>
      </c>
      <c r="D16" s="232" t="s">
        <v>510</v>
      </c>
      <c r="E16" s="30">
        <v>18976</v>
      </c>
      <c r="F16" s="227">
        <v>18976</v>
      </c>
      <c r="G16" s="231">
        <f>F16/E16</f>
        <v>1</v>
      </c>
      <c r="H16" s="30">
        <f>'1.2'!K48</f>
        <v>8880</v>
      </c>
      <c r="I16" s="33">
        <f>'1.2'!O48</f>
        <v>8880</v>
      </c>
      <c r="J16" s="38">
        <v>0</v>
      </c>
    </row>
    <row r="17" spans="1:10" ht="15" customHeight="1">
      <c r="A17" s="76"/>
      <c r="B17" s="76"/>
      <c r="C17" s="226">
        <v>6610</v>
      </c>
      <c r="D17" s="232" t="s">
        <v>512</v>
      </c>
      <c r="E17" s="30">
        <v>90128</v>
      </c>
      <c r="F17" s="227">
        <v>90128</v>
      </c>
      <c r="G17" s="231">
        <f>F17/E17</f>
        <v>1</v>
      </c>
      <c r="H17" s="30">
        <v>0</v>
      </c>
      <c r="I17" s="33">
        <v>0</v>
      </c>
      <c r="J17" s="38">
        <v>0</v>
      </c>
    </row>
    <row r="18" spans="1:10" ht="15" customHeight="1">
      <c r="A18" s="76"/>
      <c r="B18" s="76"/>
      <c r="C18" s="226">
        <v>6610</v>
      </c>
      <c r="D18" s="232" t="s">
        <v>513</v>
      </c>
      <c r="E18" s="30">
        <v>40000</v>
      </c>
      <c r="F18" s="227">
        <v>40000</v>
      </c>
      <c r="G18" s="231">
        <f>F18/E18</f>
        <v>1</v>
      </c>
      <c r="H18" s="30">
        <v>0</v>
      </c>
      <c r="I18" s="33">
        <v>0</v>
      </c>
      <c r="J18" s="38">
        <v>0</v>
      </c>
    </row>
    <row r="19" spans="1:10" ht="15" customHeight="1">
      <c r="A19" s="76"/>
      <c r="B19" s="76"/>
      <c r="C19" s="226">
        <v>6619</v>
      </c>
      <c r="D19" s="232" t="s">
        <v>510</v>
      </c>
      <c r="E19" s="30">
        <v>30000</v>
      </c>
      <c r="F19" s="227">
        <v>30000</v>
      </c>
      <c r="G19" s="231">
        <f>F19/E19</f>
        <v>1</v>
      </c>
      <c r="H19" s="30">
        <v>0</v>
      </c>
      <c r="I19" s="33">
        <v>0</v>
      </c>
      <c r="J19" s="38">
        <v>0</v>
      </c>
    </row>
    <row r="20" spans="1:10" ht="15" customHeight="1">
      <c r="A20" s="76"/>
      <c r="B20" s="76"/>
      <c r="C20" s="226">
        <v>6619</v>
      </c>
      <c r="D20" s="232" t="s">
        <v>513</v>
      </c>
      <c r="E20" s="30">
        <v>50000</v>
      </c>
      <c r="F20" s="227">
        <v>50000</v>
      </c>
      <c r="G20" s="231">
        <f>F20/E20</f>
        <v>1</v>
      </c>
      <c r="H20" s="30">
        <v>0</v>
      </c>
      <c r="I20" s="33">
        <v>0</v>
      </c>
      <c r="J20" s="38">
        <v>0</v>
      </c>
    </row>
    <row r="21" spans="1:10" ht="15" customHeight="1">
      <c r="A21" s="487">
        <v>750</v>
      </c>
      <c r="B21" s="487">
        <v>75018</v>
      </c>
      <c r="C21" s="487">
        <v>2330</v>
      </c>
      <c r="D21" s="489" t="s">
        <v>292</v>
      </c>
      <c r="E21" s="490">
        <f>E23</f>
        <v>0</v>
      </c>
      <c r="F21" s="490">
        <f>F23</f>
        <v>0</v>
      </c>
      <c r="G21" s="491">
        <v>0</v>
      </c>
      <c r="H21" s="490">
        <f>H23</f>
        <v>2720</v>
      </c>
      <c r="I21" s="490">
        <f>I23</f>
        <v>2720</v>
      </c>
      <c r="J21" s="494">
        <f>I21/H21</f>
        <v>1</v>
      </c>
    </row>
    <row r="22" spans="1:10" ht="9.75" customHeight="1">
      <c r="A22" s="76"/>
      <c r="B22" s="76"/>
      <c r="C22" s="226"/>
      <c r="D22" s="232" t="s">
        <v>509</v>
      </c>
      <c r="E22" s="30"/>
      <c r="F22" s="227"/>
      <c r="G22" s="231"/>
      <c r="H22" s="30"/>
      <c r="I22" s="33"/>
      <c r="J22" s="38"/>
    </row>
    <row r="23" spans="1:10" ht="15" customHeight="1">
      <c r="A23" s="76"/>
      <c r="B23" s="76"/>
      <c r="C23" s="226">
        <v>2330</v>
      </c>
      <c r="D23" s="232" t="s">
        <v>517</v>
      </c>
      <c r="E23" s="30">
        <v>0</v>
      </c>
      <c r="F23" s="227">
        <v>0</v>
      </c>
      <c r="G23" s="227">
        <v>0</v>
      </c>
      <c r="H23" s="30">
        <f>'1.2'!K93</f>
        <v>2720</v>
      </c>
      <c r="I23" s="33">
        <f>'1.2'!O93</f>
        <v>2720</v>
      </c>
      <c r="J23" s="38">
        <f>I23/H23</f>
        <v>1</v>
      </c>
    </row>
    <row r="24" spans="1:10" ht="17.25" customHeight="1">
      <c r="A24" s="487">
        <v>750</v>
      </c>
      <c r="B24" s="487">
        <v>75075</v>
      </c>
      <c r="C24" s="487">
        <v>2310</v>
      </c>
      <c r="D24" s="643" t="s">
        <v>724</v>
      </c>
      <c r="E24" s="490">
        <f>E26</f>
        <v>0</v>
      </c>
      <c r="F24" s="490">
        <f>F26</f>
        <v>0</v>
      </c>
      <c r="G24" s="490">
        <f>G26</f>
        <v>0</v>
      </c>
      <c r="H24" s="490">
        <f>H26</f>
        <v>2000</v>
      </c>
      <c r="I24" s="490">
        <f>I26</f>
        <v>2000</v>
      </c>
      <c r="J24" s="494">
        <f>I24/H24</f>
        <v>1</v>
      </c>
    </row>
    <row r="25" spans="1:10" ht="12" customHeight="1">
      <c r="A25" s="226"/>
      <c r="B25" s="226"/>
      <c r="C25" s="226"/>
      <c r="D25" s="232" t="s">
        <v>509</v>
      </c>
      <c r="E25" s="30"/>
      <c r="F25" s="227"/>
      <c r="G25" s="231"/>
      <c r="H25" s="30"/>
      <c r="I25" s="33"/>
      <c r="J25" s="38"/>
    </row>
    <row r="26" spans="1:10" ht="15" customHeight="1">
      <c r="A26" s="226"/>
      <c r="B26" s="226"/>
      <c r="C26" s="226">
        <v>2310</v>
      </c>
      <c r="D26" s="232" t="s">
        <v>510</v>
      </c>
      <c r="E26" s="30"/>
      <c r="F26" s="227"/>
      <c r="G26" s="231"/>
      <c r="H26" s="30">
        <v>2000</v>
      </c>
      <c r="I26" s="33">
        <v>2000</v>
      </c>
      <c r="J26" s="38">
        <v>0</v>
      </c>
    </row>
    <row r="27" spans="1:10" ht="24.75" customHeight="1">
      <c r="A27" s="487">
        <v>754</v>
      </c>
      <c r="B27" s="487">
        <v>75411</v>
      </c>
      <c r="C27" s="487">
        <v>2310</v>
      </c>
      <c r="D27" s="642" t="s">
        <v>86</v>
      </c>
      <c r="E27" s="490">
        <f>E29+E30+E31+E32</f>
        <v>24000</v>
      </c>
      <c r="F27" s="490">
        <f>F29+F30+F31+F32</f>
        <v>24000</v>
      </c>
      <c r="G27" s="493">
        <v>0</v>
      </c>
      <c r="H27" s="490">
        <f>H29+H30+H31+H32</f>
        <v>0</v>
      </c>
      <c r="I27" s="490">
        <f>I29+I30+I31+I32</f>
        <v>0</v>
      </c>
      <c r="J27" s="492">
        <v>0</v>
      </c>
    </row>
    <row r="28" spans="1:10" ht="10.5" customHeight="1">
      <c r="A28" s="226"/>
      <c r="B28" s="226"/>
      <c r="C28" s="226"/>
      <c r="D28" s="232" t="s">
        <v>509</v>
      </c>
      <c r="E28" s="30"/>
      <c r="F28" s="227"/>
      <c r="G28" s="231"/>
      <c r="H28" s="30"/>
      <c r="I28" s="33"/>
      <c r="J28" s="38"/>
    </row>
    <row r="29" spans="1:10" ht="15.75" customHeight="1">
      <c r="A29" s="226"/>
      <c r="B29" s="226"/>
      <c r="C29" s="226">
        <v>2310</v>
      </c>
      <c r="D29" s="462" t="s">
        <v>510</v>
      </c>
      <c r="E29" s="30">
        <v>5500</v>
      </c>
      <c r="F29" s="227">
        <v>5500</v>
      </c>
      <c r="G29" s="231">
        <f>F29/E29</f>
        <v>1</v>
      </c>
      <c r="H29" s="30">
        <v>0</v>
      </c>
      <c r="I29" s="33">
        <v>0</v>
      </c>
      <c r="J29" s="38">
        <v>0</v>
      </c>
    </row>
    <row r="30" spans="1:10" ht="15.75" customHeight="1">
      <c r="A30" s="226"/>
      <c r="B30" s="226"/>
      <c r="C30" s="226">
        <v>2310</v>
      </c>
      <c r="D30" s="232" t="s">
        <v>513</v>
      </c>
      <c r="E30" s="30">
        <v>15000</v>
      </c>
      <c r="F30" s="227">
        <v>15000</v>
      </c>
      <c r="G30" s="231">
        <f>F30/E30</f>
        <v>1</v>
      </c>
      <c r="H30" s="30">
        <v>0</v>
      </c>
      <c r="I30" s="33">
        <v>0</v>
      </c>
      <c r="J30" s="38">
        <v>0</v>
      </c>
    </row>
    <row r="31" spans="1:10" ht="15.75" customHeight="1">
      <c r="A31" s="226"/>
      <c r="B31" s="226"/>
      <c r="C31" s="226">
        <v>2310</v>
      </c>
      <c r="D31" s="232" t="s">
        <v>512</v>
      </c>
      <c r="E31" s="30">
        <v>1000</v>
      </c>
      <c r="F31" s="227">
        <v>1000</v>
      </c>
      <c r="G31" s="231">
        <f>F31/E31</f>
        <v>1</v>
      </c>
      <c r="H31" s="30">
        <v>0</v>
      </c>
      <c r="I31" s="33">
        <v>0</v>
      </c>
      <c r="J31" s="38">
        <v>0</v>
      </c>
    </row>
    <row r="32" spans="1:10" ht="15.75" customHeight="1">
      <c r="A32" s="235"/>
      <c r="B32" s="235"/>
      <c r="C32" s="226">
        <v>2310</v>
      </c>
      <c r="D32" s="232" t="s">
        <v>514</v>
      </c>
      <c r="E32" s="30">
        <v>2500</v>
      </c>
      <c r="F32" s="227">
        <v>2500</v>
      </c>
      <c r="G32" s="231">
        <f>F32/E32</f>
        <v>1</v>
      </c>
      <c r="H32" s="30">
        <v>0</v>
      </c>
      <c r="I32" s="33">
        <v>0</v>
      </c>
      <c r="J32" s="38">
        <v>0</v>
      </c>
    </row>
    <row r="33" spans="1:10" ht="27" customHeight="1">
      <c r="A33" s="487">
        <v>801</v>
      </c>
      <c r="B33" s="487">
        <v>80146</v>
      </c>
      <c r="C33" s="487">
        <v>2320</v>
      </c>
      <c r="D33" s="642" t="s">
        <v>386</v>
      </c>
      <c r="E33" s="490">
        <f>E35</f>
        <v>0</v>
      </c>
      <c r="F33" s="491">
        <f>F35</f>
        <v>0</v>
      </c>
      <c r="G33" s="493">
        <v>0</v>
      </c>
      <c r="H33" s="490">
        <f>H35</f>
        <v>12000</v>
      </c>
      <c r="I33" s="491">
        <f>I35</f>
        <v>12000</v>
      </c>
      <c r="J33" s="494">
        <f>I33/H33</f>
        <v>1</v>
      </c>
    </row>
    <row r="34" spans="1:10" ht="10.5" customHeight="1">
      <c r="A34" s="236"/>
      <c r="B34" s="236"/>
      <c r="C34" s="236"/>
      <c r="D34" s="232" t="s">
        <v>509</v>
      </c>
      <c r="E34" s="55"/>
      <c r="F34" s="237"/>
      <c r="G34" s="231"/>
      <c r="H34" s="55"/>
      <c r="I34" s="33"/>
      <c r="J34" s="38"/>
    </row>
    <row r="35" spans="1:10" ht="15" customHeight="1">
      <c r="A35" s="236"/>
      <c r="B35" s="236"/>
      <c r="C35" s="236">
        <v>2320</v>
      </c>
      <c r="D35" s="238" t="s">
        <v>515</v>
      </c>
      <c r="E35" s="55">
        <v>0</v>
      </c>
      <c r="F35" s="237">
        <v>0</v>
      </c>
      <c r="G35" s="237">
        <v>0</v>
      </c>
      <c r="H35" s="55">
        <v>12000</v>
      </c>
      <c r="I35" s="33">
        <v>12000</v>
      </c>
      <c r="J35" s="38">
        <f>I35/H35</f>
        <v>1</v>
      </c>
    </row>
    <row r="36" spans="1:10" ht="15" customHeight="1">
      <c r="A36" s="487">
        <v>803</v>
      </c>
      <c r="B36" s="487">
        <v>80309</v>
      </c>
      <c r="C36" s="632"/>
      <c r="D36" s="641" t="s">
        <v>135</v>
      </c>
      <c r="E36" s="490">
        <f>E38+E39+E40+E41</f>
        <v>88432</v>
      </c>
      <c r="F36" s="490">
        <f>F38+F39+F40+F41</f>
        <v>88432</v>
      </c>
      <c r="G36" s="585">
        <f>F36/E36</f>
        <v>1</v>
      </c>
      <c r="H36" s="490">
        <f>H38+H39+H40+H41</f>
        <v>0</v>
      </c>
      <c r="I36" s="490">
        <f>I38+I39+I40+I41</f>
        <v>0</v>
      </c>
      <c r="J36" s="492">
        <v>0</v>
      </c>
    </row>
    <row r="37" spans="1:10" ht="10.5" customHeight="1">
      <c r="A37" s="236"/>
      <c r="B37" s="236"/>
      <c r="C37" s="236"/>
      <c r="D37" s="238" t="s">
        <v>509</v>
      </c>
      <c r="E37" s="55"/>
      <c r="F37" s="237"/>
      <c r="G37" s="633"/>
      <c r="H37" s="55"/>
      <c r="I37" s="33"/>
      <c r="J37" s="38"/>
    </row>
    <row r="38" spans="1:10" ht="15" customHeight="1">
      <c r="A38" s="236"/>
      <c r="B38" s="236"/>
      <c r="C38" s="236">
        <v>2328</v>
      </c>
      <c r="D38" s="238" t="s">
        <v>752</v>
      </c>
      <c r="E38" s="55">
        <v>51125</v>
      </c>
      <c r="F38" s="237">
        <v>51125</v>
      </c>
      <c r="G38" s="634">
        <f aca="true" t="shared" si="0" ref="G38:G54">F38/E38</f>
        <v>1</v>
      </c>
      <c r="H38" s="55">
        <v>0</v>
      </c>
      <c r="I38" s="33">
        <v>0</v>
      </c>
      <c r="J38" s="38">
        <v>0</v>
      </c>
    </row>
    <row r="39" spans="1:10" ht="15" customHeight="1">
      <c r="A39" s="236"/>
      <c r="B39" s="236"/>
      <c r="C39" s="236">
        <v>2329</v>
      </c>
      <c r="D39" s="636" t="s">
        <v>752</v>
      </c>
      <c r="E39" s="55">
        <v>17042</v>
      </c>
      <c r="F39" s="237">
        <v>17042</v>
      </c>
      <c r="G39" s="634">
        <f t="shared" si="0"/>
        <v>1</v>
      </c>
      <c r="H39" s="55">
        <v>0</v>
      </c>
      <c r="I39" s="33">
        <v>0</v>
      </c>
      <c r="J39" s="38">
        <v>0</v>
      </c>
    </row>
    <row r="40" spans="1:10" ht="15" customHeight="1">
      <c r="A40" s="236"/>
      <c r="B40" s="236"/>
      <c r="C40" s="236">
        <v>2338</v>
      </c>
      <c r="D40" s="232" t="s">
        <v>517</v>
      </c>
      <c r="E40" s="55">
        <v>15199</v>
      </c>
      <c r="F40" s="237">
        <v>15199</v>
      </c>
      <c r="G40" s="634">
        <f t="shared" si="0"/>
        <v>1</v>
      </c>
      <c r="H40" s="55">
        <v>0</v>
      </c>
      <c r="I40" s="33">
        <v>0</v>
      </c>
      <c r="J40" s="38">
        <v>0</v>
      </c>
    </row>
    <row r="41" spans="1:10" ht="15" customHeight="1">
      <c r="A41" s="236"/>
      <c r="B41" s="236"/>
      <c r="C41" s="236">
        <v>2339</v>
      </c>
      <c r="D41" s="232" t="s">
        <v>517</v>
      </c>
      <c r="E41" s="55">
        <v>5066</v>
      </c>
      <c r="F41" s="237">
        <v>5066</v>
      </c>
      <c r="G41" s="634">
        <f t="shared" si="0"/>
        <v>1</v>
      </c>
      <c r="H41" s="55">
        <v>0</v>
      </c>
      <c r="I41" s="33">
        <v>0</v>
      </c>
      <c r="J41" s="38">
        <v>0</v>
      </c>
    </row>
    <row r="42" spans="1:10" ht="21.75" customHeight="1">
      <c r="A42" s="487">
        <v>851</v>
      </c>
      <c r="B42" s="487">
        <v>85154</v>
      </c>
      <c r="C42" s="632"/>
      <c r="D42" s="640" t="s">
        <v>640</v>
      </c>
      <c r="E42" s="490">
        <f>E44+E45+E46</f>
        <v>73470</v>
      </c>
      <c r="F42" s="490">
        <f>F44+F45+F46</f>
        <v>73470</v>
      </c>
      <c r="G42" s="585">
        <f t="shared" si="0"/>
        <v>1</v>
      </c>
      <c r="H42" s="490">
        <f>H44+H45+H46</f>
        <v>0</v>
      </c>
      <c r="I42" s="490">
        <f>I44+I45+I46</f>
        <v>0</v>
      </c>
      <c r="J42" s="492">
        <v>0</v>
      </c>
    </row>
    <row r="43" spans="1:10" ht="10.5" customHeight="1">
      <c r="A43" s="236"/>
      <c r="B43" s="236"/>
      <c r="C43" s="236"/>
      <c r="D43" s="238" t="s">
        <v>509</v>
      </c>
      <c r="E43" s="55"/>
      <c r="F43" s="237"/>
      <c r="G43" s="634"/>
      <c r="H43" s="55"/>
      <c r="I43" s="33"/>
      <c r="J43" s="38"/>
    </row>
    <row r="44" spans="1:10" ht="15" customHeight="1">
      <c r="A44" s="236"/>
      <c r="B44" s="236"/>
      <c r="C44" s="236">
        <v>2330</v>
      </c>
      <c r="D44" s="232" t="s">
        <v>517</v>
      </c>
      <c r="E44" s="55">
        <v>22820</v>
      </c>
      <c r="F44" s="237">
        <v>22820</v>
      </c>
      <c r="G44" s="634">
        <f t="shared" si="0"/>
        <v>1</v>
      </c>
      <c r="H44" s="55">
        <v>0</v>
      </c>
      <c r="I44" s="33">
        <v>0</v>
      </c>
      <c r="J44" s="38">
        <v>0</v>
      </c>
    </row>
    <row r="45" spans="1:10" ht="15" customHeight="1">
      <c r="A45" s="236"/>
      <c r="B45" s="236"/>
      <c r="C45" s="236">
        <v>6630</v>
      </c>
      <c r="D45" s="232" t="s">
        <v>517</v>
      </c>
      <c r="E45" s="55">
        <v>48650</v>
      </c>
      <c r="F45" s="237">
        <v>48650</v>
      </c>
      <c r="G45" s="634">
        <f t="shared" si="0"/>
        <v>1</v>
      </c>
      <c r="H45" s="55">
        <v>0</v>
      </c>
      <c r="I45" s="33">
        <v>0</v>
      </c>
      <c r="J45" s="38"/>
    </row>
    <row r="46" spans="1:10" ht="15" customHeight="1">
      <c r="A46" s="236"/>
      <c r="B46" s="236"/>
      <c r="C46" s="236">
        <v>2310</v>
      </c>
      <c r="D46" s="462" t="s">
        <v>510</v>
      </c>
      <c r="E46" s="55">
        <v>2000</v>
      </c>
      <c r="F46" s="237">
        <v>2000</v>
      </c>
      <c r="G46" s="634">
        <f t="shared" si="0"/>
        <v>1</v>
      </c>
      <c r="H46" s="55">
        <v>0</v>
      </c>
      <c r="I46" s="33">
        <v>0</v>
      </c>
      <c r="J46" s="38">
        <f>I47/H47</f>
        <v>1</v>
      </c>
    </row>
    <row r="47" spans="1:10" ht="24.75" customHeight="1">
      <c r="A47" s="487">
        <v>852</v>
      </c>
      <c r="B47" s="487">
        <v>85201</v>
      </c>
      <c r="C47" s="487">
        <v>2310</v>
      </c>
      <c r="D47" s="639" t="s">
        <v>753</v>
      </c>
      <c r="E47" s="490">
        <f>E49+E50+E51+E52+E53+E54+E55+E56</f>
        <v>368098</v>
      </c>
      <c r="F47" s="490">
        <f>F49+F50+F51+F52+F53+F54+F55+F56</f>
        <v>368098</v>
      </c>
      <c r="G47" s="635">
        <f t="shared" si="0"/>
        <v>1</v>
      </c>
      <c r="H47" s="490">
        <f>H49+H50+H51+H52+H53+H54+H55+H56</f>
        <v>328777</v>
      </c>
      <c r="I47" s="490">
        <f>I49+I50+I51+I52+I53+I54+I55+I56</f>
        <v>328777</v>
      </c>
      <c r="J47" s="494">
        <f>I47/H47</f>
        <v>1</v>
      </c>
    </row>
    <row r="48" spans="1:10" ht="9" customHeight="1">
      <c r="A48" s="236"/>
      <c r="B48" s="236"/>
      <c r="C48" s="236"/>
      <c r="D48" s="238" t="s">
        <v>509</v>
      </c>
      <c r="E48" s="55"/>
      <c r="F48" s="237"/>
      <c r="G48" s="634"/>
      <c r="H48" s="55"/>
      <c r="I48" s="33"/>
      <c r="J48" s="38"/>
    </row>
    <row r="49" spans="1:10" ht="12" customHeight="1">
      <c r="A49" s="236"/>
      <c r="B49" s="236"/>
      <c r="C49" s="236">
        <v>2320</v>
      </c>
      <c r="D49" s="238" t="s">
        <v>754</v>
      </c>
      <c r="E49" s="55">
        <v>54239</v>
      </c>
      <c r="F49" s="237">
        <v>54239</v>
      </c>
      <c r="G49" s="634">
        <f t="shared" si="0"/>
        <v>1</v>
      </c>
      <c r="H49" s="55">
        <v>56016</v>
      </c>
      <c r="I49" s="33">
        <v>56016</v>
      </c>
      <c r="J49" s="38">
        <f>I49/H49</f>
        <v>1</v>
      </c>
    </row>
    <row r="50" spans="1:10" ht="14.25" customHeight="1">
      <c r="A50" s="236"/>
      <c r="B50" s="236"/>
      <c r="C50" s="236">
        <v>2320</v>
      </c>
      <c r="D50" s="238" t="s">
        <v>755</v>
      </c>
      <c r="E50" s="55">
        <v>179348</v>
      </c>
      <c r="F50" s="237">
        <v>179348</v>
      </c>
      <c r="G50" s="634">
        <f t="shared" si="0"/>
        <v>1</v>
      </c>
      <c r="H50" s="55">
        <v>152617</v>
      </c>
      <c r="I50" s="33">
        <v>152617</v>
      </c>
      <c r="J50" s="38">
        <f aca="true" t="shared" si="1" ref="J50:J56">I50/H50</f>
        <v>1</v>
      </c>
    </row>
    <row r="51" spans="1:10" ht="12.75" customHeight="1">
      <c r="A51" s="236"/>
      <c r="B51" s="236"/>
      <c r="C51" s="236">
        <v>2320</v>
      </c>
      <c r="D51" s="238" t="s">
        <v>756</v>
      </c>
      <c r="E51" s="55">
        <v>29891</v>
      </c>
      <c r="F51" s="237">
        <v>29891</v>
      </c>
      <c r="G51" s="634">
        <f t="shared" si="0"/>
        <v>1</v>
      </c>
      <c r="H51" s="55">
        <v>0</v>
      </c>
      <c r="I51" s="33">
        <v>0</v>
      </c>
      <c r="J51" s="38">
        <v>0</v>
      </c>
    </row>
    <row r="52" spans="1:10" ht="12.75" customHeight="1">
      <c r="A52" s="236"/>
      <c r="B52" s="236"/>
      <c r="C52" s="236">
        <v>2320</v>
      </c>
      <c r="D52" s="238" t="s">
        <v>757</v>
      </c>
      <c r="E52" s="55">
        <v>59783</v>
      </c>
      <c r="F52" s="237">
        <v>59783</v>
      </c>
      <c r="G52" s="634">
        <f t="shared" si="0"/>
        <v>1</v>
      </c>
      <c r="H52" s="55">
        <v>0</v>
      </c>
      <c r="I52" s="33">
        <v>0</v>
      </c>
      <c r="J52" s="38">
        <v>0</v>
      </c>
    </row>
    <row r="53" spans="1:10" ht="13.5" customHeight="1">
      <c r="A53" s="236"/>
      <c r="B53" s="236"/>
      <c r="C53" s="236">
        <v>2320</v>
      </c>
      <c r="D53" s="238" t="s">
        <v>758</v>
      </c>
      <c r="E53" s="55">
        <v>14946</v>
      </c>
      <c r="F53" s="237">
        <v>14946</v>
      </c>
      <c r="G53" s="634">
        <f t="shared" si="0"/>
        <v>1</v>
      </c>
      <c r="H53" s="55">
        <v>0</v>
      </c>
      <c r="I53" s="33">
        <v>0</v>
      </c>
      <c r="J53" s="38">
        <v>0</v>
      </c>
    </row>
    <row r="54" spans="1:10" ht="14.25" customHeight="1">
      <c r="A54" s="236"/>
      <c r="B54" s="236"/>
      <c r="C54" s="236">
        <v>2320</v>
      </c>
      <c r="D54" s="238" t="s">
        <v>759</v>
      </c>
      <c r="E54" s="55">
        <v>29891</v>
      </c>
      <c r="F54" s="237">
        <v>29891</v>
      </c>
      <c r="G54" s="634">
        <f t="shared" si="0"/>
        <v>1</v>
      </c>
      <c r="H54" s="55">
        <v>0</v>
      </c>
      <c r="I54" s="33">
        <v>0</v>
      </c>
      <c r="J54" s="38">
        <v>0</v>
      </c>
    </row>
    <row r="55" spans="1:10" ht="14.25" customHeight="1">
      <c r="A55" s="236"/>
      <c r="B55" s="236"/>
      <c r="C55" s="236">
        <v>2320</v>
      </c>
      <c r="D55" s="238" t="s">
        <v>761</v>
      </c>
      <c r="E55" s="55">
        <v>0</v>
      </c>
      <c r="F55" s="237">
        <v>0</v>
      </c>
      <c r="G55" s="634">
        <v>0</v>
      </c>
      <c r="H55" s="55">
        <v>88200</v>
      </c>
      <c r="I55" s="33">
        <v>88200</v>
      </c>
      <c r="J55" s="38">
        <f t="shared" si="1"/>
        <v>1</v>
      </c>
    </row>
    <row r="56" spans="1:10" ht="15" customHeight="1">
      <c r="A56" s="236"/>
      <c r="B56" s="236"/>
      <c r="C56" s="236">
        <v>2320</v>
      </c>
      <c r="D56" s="238" t="s">
        <v>760</v>
      </c>
      <c r="E56" s="55">
        <v>0</v>
      </c>
      <c r="F56" s="237">
        <v>0</v>
      </c>
      <c r="G56" s="634">
        <v>0</v>
      </c>
      <c r="H56" s="55">
        <v>31944</v>
      </c>
      <c r="I56" s="33">
        <v>31944</v>
      </c>
      <c r="J56" s="38">
        <f t="shared" si="1"/>
        <v>1</v>
      </c>
    </row>
    <row r="57" spans="1:10" ht="16.5" customHeight="1">
      <c r="A57" s="487">
        <v>852</v>
      </c>
      <c r="B57" s="487">
        <v>85204</v>
      </c>
      <c r="C57" s="487">
        <v>2320</v>
      </c>
      <c r="D57" s="639" t="s">
        <v>154</v>
      </c>
      <c r="E57" s="490">
        <f>E59+E60+E61+E62+E63+E64</f>
        <v>31068</v>
      </c>
      <c r="F57" s="490">
        <f>F59+F60+F61+F62+F63+F64</f>
        <v>31068</v>
      </c>
      <c r="G57" s="497">
        <f>F57/E57</f>
        <v>1</v>
      </c>
      <c r="H57" s="490">
        <f>H59+H60+H61+H62+H63+H64</f>
        <v>22689</v>
      </c>
      <c r="I57" s="490">
        <f>I59+I60+I61+I62+I63+I64</f>
        <v>22689</v>
      </c>
      <c r="J57" s="494">
        <f>I57/H57</f>
        <v>1</v>
      </c>
    </row>
    <row r="58" spans="1:10" ht="12" customHeight="1">
      <c r="A58" s="33"/>
      <c r="B58" s="33"/>
      <c r="C58" s="236"/>
      <c r="D58" s="146" t="s">
        <v>509</v>
      </c>
      <c r="E58" s="55"/>
      <c r="F58" s="237"/>
      <c r="G58" s="231"/>
      <c r="H58" s="55"/>
      <c r="I58" s="33"/>
      <c r="J58" s="38"/>
    </row>
    <row r="59" spans="1:10" ht="12.75" customHeight="1">
      <c r="A59" s="33"/>
      <c r="B59" s="33"/>
      <c r="C59" s="236">
        <v>2310</v>
      </c>
      <c r="D59" s="188" t="s">
        <v>762</v>
      </c>
      <c r="E59" s="55">
        <v>0</v>
      </c>
      <c r="F59" s="237">
        <v>0</v>
      </c>
      <c r="G59" s="231">
        <v>0</v>
      </c>
      <c r="H59" s="55">
        <v>11730</v>
      </c>
      <c r="I59" s="33">
        <v>11730</v>
      </c>
      <c r="J59" s="38">
        <v>0</v>
      </c>
    </row>
    <row r="60" spans="1:10" ht="12.75" customHeight="1">
      <c r="A60" s="33"/>
      <c r="B60" s="33"/>
      <c r="C60" s="236">
        <v>2310</v>
      </c>
      <c r="D60" s="188" t="s">
        <v>763</v>
      </c>
      <c r="E60" s="55">
        <v>0</v>
      </c>
      <c r="F60" s="237">
        <v>0</v>
      </c>
      <c r="G60" s="231">
        <v>0</v>
      </c>
      <c r="H60" s="55">
        <v>228</v>
      </c>
      <c r="I60" s="33">
        <v>228</v>
      </c>
      <c r="J60" s="38">
        <v>0</v>
      </c>
    </row>
    <row r="61" spans="1:10" ht="12.75" customHeight="1">
      <c r="A61" s="33"/>
      <c r="B61" s="33"/>
      <c r="C61" s="236">
        <v>2320</v>
      </c>
      <c r="D61" s="238" t="s">
        <v>761</v>
      </c>
      <c r="E61" s="55">
        <v>6495</v>
      </c>
      <c r="F61" s="237">
        <v>6495</v>
      </c>
      <c r="G61" s="231">
        <f>F61/E61</f>
        <v>1</v>
      </c>
      <c r="H61" s="55">
        <v>7781</v>
      </c>
      <c r="I61" s="33">
        <v>7781</v>
      </c>
      <c r="J61" s="38">
        <v>0</v>
      </c>
    </row>
    <row r="62" spans="1:10" ht="12.75" customHeight="1">
      <c r="A62" s="33"/>
      <c r="B62" s="33"/>
      <c r="C62" s="236">
        <v>2320</v>
      </c>
      <c r="D62" s="238" t="s">
        <v>754</v>
      </c>
      <c r="E62" s="55">
        <v>23349</v>
      </c>
      <c r="F62" s="237">
        <v>23349</v>
      </c>
      <c r="G62" s="231">
        <f>F62/E62</f>
        <v>1</v>
      </c>
      <c r="H62" s="55">
        <v>0</v>
      </c>
      <c r="I62" s="33">
        <v>0</v>
      </c>
      <c r="J62" s="38">
        <v>0</v>
      </c>
    </row>
    <row r="63" spans="1:10" ht="12.75" customHeight="1">
      <c r="A63" s="33"/>
      <c r="B63" s="33"/>
      <c r="C63" s="236">
        <v>2320</v>
      </c>
      <c r="D63" s="238" t="s">
        <v>764</v>
      </c>
      <c r="E63" s="55">
        <v>1224</v>
      </c>
      <c r="F63" s="237">
        <v>1224</v>
      </c>
      <c r="G63" s="231">
        <f>F63/E63</f>
        <v>1</v>
      </c>
      <c r="H63" s="55">
        <v>0</v>
      </c>
      <c r="I63" s="33">
        <v>0</v>
      </c>
      <c r="J63" s="38">
        <v>0</v>
      </c>
    </row>
    <row r="64" spans="1:10" ht="14.25" customHeight="1" thickBot="1">
      <c r="A64" s="116"/>
      <c r="B64" s="116"/>
      <c r="C64" s="572">
        <v>2320</v>
      </c>
      <c r="D64" s="649" t="s">
        <v>765</v>
      </c>
      <c r="E64" s="650">
        <v>0</v>
      </c>
      <c r="F64" s="651">
        <v>0</v>
      </c>
      <c r="G64" s="652">
        <v>0</v>
      </c>
      <c r="H64" s="650">
        <v>2950</v>
      </c>
      <c r="I64" s="116">
        <v>2950</v>
      </c>
      <c r="J64" s="653">
        <f>I64/H64</f>
        <v>1</v>
      </c>
    </row>
    <row r="65" spans="1:10" ht="21" customHeight="1" thickBot="1">
      <c r="A65" s="534">
        <v>854</v>
      </c>
      <c r="B65" s="537">
        <v>85415</v>
      </c>
      <c r="C65" s="654"/>
      <c r="D65" s="655" t="s">
        <v>172</v>
      </c>
      <c r="E65" s="656">
        <f>E67+E68+E69+E70</f>
        <v>416092</v>
      </c>
      <c r="F65" s="656">
        <f>F67+F68+F69+F70</f>
        <v>415591</v>
      </c>
      <c r="G65" s="657">
        <f>F65/E65</f>
        <v>0.9987959393595647</v>
      </c>
      <c r="H65" s="656">
        <v>0</v>
      </c>
      <c r="I65" s="658">
        <v>0</v>
      </c>
      <c r="J65" s="538">
        <v>0</v>
      </c>
    </row>
    <row r="66" spans="1:10" ht="11.25" customHeight="1">
      <c r="A66" s="114"/>
      <c r="B66" s="114"/>
      <c r="C66" s="247"/>
      <c r="D66" s="190" t="s">
        <v>509</v>
      </c>
      <c r="E66" s="109"/>
      <c r="F66" s="645"/>
      <c r="G66" s="646"/>
      <c r="H66" s="109"/>
      <c r="I66" s="647"/>
      <c r="J66" s="648"/>
    </row>
    <row r="67" spans="1:10" ht="14.25" customHeight="1">
      <c r="A67" s="33"/>
      <c r="B67" s="33"/>
      <c r="C67" s="236">
        <v>2328</v>
      </c>
      <c r="D67" s="636" t="s">
        <v>752</v>
      </c>
      <c r="E67" s="55">
        <v>213215</v>
      </c>
      <c r="F67" s="637">
        <v>213215</v>
      </c>
      <c r="G67" s="231">
        <f>F67/E67</f>
        <v>1</v>
      </c>
      <c r="H67" s="55">
        <v>0</v>
      </c>
      <c r="I67" s="638">
        <v>0</v>
      </c>
      <c r="J67" s="38">
        <v>0</v>
      </c>
    </row>
    <row r="68" spans="1:10" ht="14.25" customHeight="1">
      <c r="A68" s="33"/>
      <c r="B68" s="33"/>
      <c r="C68" s="236">
        <v>2329</v>
      </c>
      <c r="D68" s="636" t="s">
        <v>752</v>
      </c>
      <c r="E68" s="55">
        <v>100337</v>
      </c>
      <c r="F68" s="637">
        <v>100336</v>
      </c>
      <c r="G68" s="231">
        <f>F68/E68</f>
        <v>0.9999900335868125</v>
      </c>
      <c r="H68" s="55">
        <v>0</v>
      </c>
      <c r="I68" s="638">
        <v>0</v>
      </c>
      <c r="J68" s="38">
        <v>0</v>
      </c>
    </row>
    <row r="69" spans="1:10" ht="14.25" customHeight="1">
      <c r="A69" s="33"/>
      <c r="B69" s="33"/>
      <c r="C69" s="236">
        <v>2338</v>
      </c>
      <c r="D69" s="232" t="s">
        <v>517</v>
      </c>
      <c r="E69" s="55">
        <v>69727</v>
      </c>
      <c r="F69" s="637">
        <v>69387</v>
      </c>
      <c r="G69" s="231">
        <f>F69/E69</f>
        <v>0.9951238401193225</v>
      </c>
      <c r="H69" s="55">
        <v>0</v>
      </c>
      <c r="I69" s="638">
        <v>0</v>
      </c>
      <c r="J69" s="38">
        <v>0</v>
      </c>
    </row>
    <row r="70" spans="1:10" ht="14.25" customHeight="1">
      <c r="A70" s="33"/>
      <c r="B70" s="33"/>
      <c r="C70" s="236">
        <v>2339</v>
      </c>
      <c r="D70" s="232" t="s">
        <v>517</v>
      </c>
      <c r="E70" s="55">
        <v>32813</v>
      </c>
      <c r="F70" s="637">
        <v>32653</v>
      </c>
      <c r="G70" s="231">
        <f>F70/E70</f>
        <v>0.9951238838265322</v>
      </c>
      <c r="H70" s="55">
        <v>0</v>
      </c>
      <c r="I70" s="638">
        <v>0</v>
      </c>
      <c r="J70" s="38">
        <v>0</v>
      </c>
    </row>
    <row r="71" spans="1:10" ht="24.75" customHeight="1">
      <c r="A71" s="487">
        <v>854</v>
      </c>
      <c r="B71" s="487">
        <v>85417</v>
      </c>
      <c r="C71" s="487">
        <v>2310</v>
      </c>
      <c r="D71" s="639" t="s">
        <v>516</v>
      </c>
      <c r="E71" s="490">
        <f>E73</f>
        <v>0</v>
      </c>
      <c r="F71" s="490">
        <f>F73</f>
        <v>0</v>
      </c>
      <c r="G71" s="496">
        <v>0</v>
      </c>
      <c r="H71" s="490">
        <f>H73</f>
        <v>1500</v>
      </c>
      <c r="I71" s="490">
        <f>I73</f>
        <v>1500</v>
      </c>
      <c r="J71" s="492">
        <f>I71/H71</f>
        <v>1</v>
      </c>
    </row>
    <row r="72" spans="1:10" ht="12.75" customHeight="1">
      <c r="A72" s="33"/>
      <c r="B72" s="33"/>
      <c r="C72" s="236"/>
      <c r="D72" s="146" t="s">
        <v>509</v>
      </c>
      <c r="E72" s="55"/>
      <c r="F72" s="237"/>
      <c r="G72" s="231"/>
      <c r="H72" s="55"/>
      <c r="I72" s="33"/>
      <c r="J72" s="38"/>
    </row>
    <row r="73" spans="1:10" ht="12" customHeight="1">
      <c r="A73" s="33"/>
      <c r="B73" s="33"/>
      <c r="C73" s="236">
        <v>2310</v>
      </c>
      <c r="D73" s="232" t="s">
        <v>514</v>
      </c>
      <c r="E73" s="55">
        <v>0</v>
      </c>
      <c r="F73" s="237">
        <v>0</v>
      </c>
      <c r="G73" s="237">
        <v>0</v>
      </c>
      <c r="H73" s="55">
        <v>1500</v>
      </c>
      <c r="I73" s="33">
        <v>1500</v>
      </c>
      <c r="J73" s="38">
        <f>I73/H73</f>
        <v>1</v>
      </c>
    </row>
    <row r="74" spans="1:10" ht="15" customHeight="1" hidden="1">
      <c r="A74" s="40">
        <v>750</v>
      </c>
      <c r="B74" s="40">
        <v>75018</v>
      </c>
      <c r="C74" s="209">
        <v>2330</v>
      </c>
      <c r="D74" s="463" t="s">
        <v>292</v>
      </c>
      <c r="E74" s="39">
        <v>0</v>
      </c>
      <c r="F74" s="224">
        <v>0</v>
      </c>
      <c r="G74" s="233">
        <v>0</v>
      </c>
      <c r="H74" s="39">
        <f>H76</f>
        <v>0</v>
      </c>
      <c r="I74" s="40">
        <v>0</v>
      </c>
      <c r="J74" s="234">
        <v>0</v>
      </c>
    </row>
    <row r="75" spans="1:10" ht="10.5" customHeight="1" hidden="1">
      <c r="A75" s="52"/>
      <c r="B75" s="52"/>
      <c r="C75" s="226"/>
      <c r="D75" s="239" t="s">
        <v>509</v>
      </c>
      <c r="E75" s="30"/>
      <c r="F75" s="227"/>
      <c r="G75" s="231"/>
      <c r="H75" s="30"/>
      <c r="I75" s="33"/>
      <c r="J75" s="38"/>
    </row>
    <row r="76" spans="1:10" ht="24.75" customHeight="1" hidden="1">
      <c r="A76" s="52"/>
      <c r="B76" s="52"/>
      <c r="C76" s="226"/>
      <c r="D76" s="239" t="s">
        <v>517</v>
      </c>
      <c r="E76" s="30">
        <v>0</v>
      </c>
      <c r="F76" s="227">
        <v>0</v>
      </c>
      <c r="G76" s="231">
        <v>0</v>
      </c>
      <c r="H76" s="30">
        <v>0</v>
      </c>
      <c r="I76" s="33">
        <v>0</v>
      </c>
      <c r="J76" s="38">
        <v>0</v>
      </c>
    </row>
    <row r="77" spans="1:10" ht="27.75" customHeight="1">
      <c r="A77" s="487">
        <v>921</v>
      </c>
      <c r="B77" s="487">
        <v>92116</v>
      </c>
      <c r="C77" s="487">
        <v>2310</v>
      </c>
      <c r="D77" s="495" t="s">
        <v>181</v>
      </c>
      <c r="E77" s="490">
        <v>0</v>
      </c>
      <c r="F77" s="491">
        <v>0</v>
      </c>
      <c r="G77" s="496">
        <v>0</v>
      </c>
      <c r="H77" s="490">
        <f>H79</f>
        <v>33000</v>
      </c>
      <c r="I77" s="491">
        <f>I79</f>
        <v>33000</v>
      </c>
      <c r="J77" s="494">
        <f>I77/H77</f>
        <v>1</v>
      </c>
    </row>
    <row r="78" spans="1:10" ht="11.25" customHeight="1">
      <c r="A78" s="33"/>
      <c r="B78" s="33"/>
      <c r="C78" s="236"/>
      <c r="D78" s="188" t="s">
        <v>509</v>
      </c>
      <c r="E78" s="55"/>
      <c r="F78" s="237"/>
      <c r="G78" s="237">
        <v>0</v>
      </c>
      <c r="H78" s="55"/>
      <c r="I78" s="33"/>
      <c r="J78" s="38"/>
    </row>
    <row r="79" spans="1:10" ht="15" customHeight="1" thickBot="1">
      <c r="A79" s="259"/>
      <c r="B79" s="259"/>
      <c r="C79" s="659">
        <v>2310</v>
      </c>
      <c r="D79" s="660" t="s">
        <v>518</v>
      </c>
      <c r="E79" s="661">
        <v>0</v>
      </c>
      <c r="F79" s="662">
        <v>0</v>
      </c>
      <c r="G79" s="662">
        <v>0</v>
      </c>
      <c r="H79" s="661">
        <v>33000</v>
      </c>
      <c r="I79" s="259">
        <v>33000</v>
      </c>
      <c r="J79" s="663">
        <f>I79/H79</f>
        <v>1</v>
      </c>
    </row>
    <row r="80" spans="1:10" ht="24" customHeight="1" thickBot="1">
      <c r="A80" s="664"/>
      <c r="B80" s="665"/>
      <c r="C80" s="666"/>
      <c r="D80" s="667" t="s">
        <v>519</v>
      </c>
      <c r="E80" s="668">
        <f>E7+E10+E14+E21+E24+E27+E33+E36+E42+E47+E57+E65+E71+E77</f>
        <v>1235489</v>
      </c>
      <c r="F80" s="668">
        <f>F7+F10+F14+F21+F24+F27+F33+F36+F42+F47+F57+F65+F71+F77</f>
        <v>1234988</v>
      </c>
      <c r="G80" s="669">
        <f>F80/E80</f>
        <v>0.9995944925450571</v>
      </c>
      <c r="H80" s="668">
        <f>H7+H10+H14+H21+H24+H27+H33+H47+H57+H71+H77</f>
        <v>463266</v>
      </c>
      <c r="I80" s="668">
        <f>I7+I10+I14+I21+I24+I27+I33+I47+I57+I71+I77</f>
        <v>463266</v>
      </c>
      <c r="J80" s="670">
        <f>I80/H80</f>
        <v>1</v>
      </c>
    </row>
    <row r="81" ht="22.5" customHeight="1"/>
    <row r="82" ht="21.75" customHeight="1"/>
    <row r="83" ht="21.75" customHeight="1"/>
    <row r="84" ht="21" customHeight="1"/>
    <row r="85" ht="18.75" customHeight="1"/>
    <row r="86" ht="17.25" customHeight="1"/>
    <row r="87" ht="17.25" customHeight="1"/>
    <row r="88" ht="18.75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24" customHeight="1"/>
  </sheetData>
  <mergeCells count="12">
    <mergeCell ref="E4:E5"/>
    <mergeCell ref="A2:J2"/>
    <mergeCell ref="F4:F5"/>
    <mergeCell ref="G4:G5"/>
    <mergeCell ref="C1:H1"/>
    <mergeCell ref="E3:G3"/>
    <mergeCell ref="H3:J3"/>
    <mergeCell ref="A3:C4"/>
    <mergeCell ref="I4:I5"/>
    <mergeCell ref="J4:J5"/>
    <mergeCell ref="H4:H5"/>
    <mergeCell ref="D3:D5"/>
  </mergeCells>
  <printOptions/>
  <pageMargins left="0.7874015748031497" right="0.7874015748031497" top="0.5905511811023623" bottom="0.5905511811023623" header="0.5118110236220472" footer="0.5118110236220472"/>
  <pageSetup horizontalDpi="360" verticalDpi="360" orientation="portrait" paperSize="9" scale="80" r:id="rId1"/>
  <headerFooter alignWithMargins="0">
    <oddFooter>&amp;CStrona &amp;P</oddFooter>
  </headerFooter>
  <rowBreaks count="1" manualBreakCount="1">
    <brk id="5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2:N42"/>
  <sheetViews>
    <sheetView workbookViewId="0" topLeftCell="A15">
      <selection activeCell="H8" sqref="H8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2.875" style="0" customWidth="1"/>
    <col min="4" max="4" width="0.12890625" style="0" hidden="1" customWidth="1"/>
    <col min="5" max="8" width="11.625" style="0" customWidth="1"/>
  </cols>
  <sheetData>
    <row r="1" ht="12.75" customHeight="1"/>
    <row r="2" spans="3:8" ht="49.5" customHeight="1">
      <c r="C2" s="897"/>
      <c r="D2" s="897"/>
      <c r="E2" s="897"/>
      <c r="F2" s="899" t="s">
        <v>520</v>
      </c>
      <c r="G2" s="899"/>
      <c r="H2" s="899"/>
    </row>
    <row r="3" spans="1:11" ht="15.75">
      <c r="A3" s="901" t="s">
        <v>521</v>
      </c>
      <c r="B3" s="901"/>
      <c r="C3" s="901"/>
      <c r="D3" s="901"/>
      <c r="E3" s="901"/>
      <c r="F3" s="901"/>
      <c r="G3" s="901"/>
      <c r="H3" s="901"/>
      <c r="I3" s="901"/>
      <c r="J3" s="901"/>
      <c r="K3" s="901"/>
    </row>
    <row r="4" spans="1:11" ht="15.75">
      <c r="A4" s="240"/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ht="13.5" thickBot="1"/>
    <row r="6" spans="1:11" ht="24.75" customHeight="1">
      <c r="A6" s="906" t="s">
        <v>1</v>
      </c>
      <c r="B6" s="904" t="s">
        <v>522</v>
      </c>
      <c r="C6" s="902" t="s">
        <v>523</v>
      </c>
      <c r="D6" s="908" t="s">
        <v>524</v>
      </c>
      <c r="E6" s="895" t="s">
        <v>201</v>
      </c>
      <c r="F6" s="895" t="s">
        <v>501</v>
      </c>
      <c r="G6" s="895" t="s">
        <v>464</v>
      </c>
      <c r="H6" s="207"/>
      <c r="I6" s="898"/>
      <c r="J6" s="898"/>
      <c r="K6" s="898"/>
    </row>
    <row r="7" spans="1:11" ht="18.75" customHeight="1" thickBot="1">
      <c r="A7" s="907"/>
      <c r="B7" s="905"/>
      <c r="C7" s="903"/>
      <c r="D7" s="909"/>
      <c r="E7" s="896"/>
      <c r="F7" s="896"/>
      <c r="G7" s="896"/>
      <c r="H7" s="207"/>
      <c r="I7" s="898"/>
      <c r="J7" s="898"/>
      <c r="K7" s="898"/>
    </row>
    <row r="8" spans="1:8" ht="13.5" customHeight="1" thickBot="1">
      <c r="A8" s="241">
        <v>1</v>
      </c>
      <c r="B8" s="242">
        <v>2</v>
      </c>
      <c r="C8" s="242">
        <v>3</v>
      </c>
      <c r="D8" s="243">
        <v>4</v>
      </c>
      <c r="E8" s="243">
        <v>5</v>
      </c>
      <c r="F8" s="243">
        <v>6</v>
      </c>
      <c r="G8" s="244">
        <v>7</v>
      </c>
      <c r="H8" s="245"/>
    </row>
    <row r="9" spans="1:8" ht="18" customHeight="1" thickBot="1">
      <c r="A9" s="671" t="s">
        <v>525</v>
      </c>
      <c r="B9" s="665" t="s">
        <v>526</v>
      </c>
      <c r="C9" s="665"/>
      <c r="D9" s="672">
        <v>25467450</v>
      </c>
      <c r="E9" s="673">
        <f>'Z1.1'!S216</f>
        <v>30327932</v>
      </c>
      <c r="F9" s="665">
        <f>'Z1.1'!T216</f>
        <v>30447140</v>
      </c>
      <c r="G9" s="670">
        <f aca="true" t="shared" si="0" ref="G9:G15">F9/E9</f>
        <v>1.0039306339779448</v>
      </c>
      <c r="H9" s="29"/>
    </row>
    <row r="10" spans="1:8" ht="18" customHeight="1" thickBot="1">
      <c r="A10" s="674" t="s">
        <v>527</v>
      </c>
      <c r="B10" s="675" t="s">
        <v>528</v>
      </c>
      <c r="C10" s="675"/>
      <c r="D10" s="676">
        <v>28296781</v>
      </c>
      <c r="E10" s="677">
        <f>'1.2'!K509</f>
        <v>32061849</v>
      </c>
      <c r="F10" s="675">
        <f>'1.2'!L509</f>
        <v>32043507</v>
      </c>
      <c r="G10" s="678">
        <f t="shared" si="0"/>
        <v>0.9994279182089592</v>
      </c>
      <c r="H10" s="29"/>
    </row>
    <row r="11" spans="1:8" ht="12.75">
      <c r="A11" s="247"/>
      <c r="B11" s="369" t="s">
        <v>529</v>
      </c>
      <c r="C11" s="114"/>
      <c r="D11" s="248">
        <f>D9-D10</f>
        <v>-2829331</v>
      </c>
      <c r="E11" s="248">
        <f>E9-E10</f>
        <v>-1733917</v>
      </c>
      <c r="F11" s="248">
        <f>F9-F10</f>
        <v>-1596367</v>
      </c>
      <c r="G11" s="37">
        <f t="shared" si="0"/>
        <v>0.9206709433035145</v>
      </c>
      <c r="H11" s="29"/>
    </row>
    <row r="12" spans="1:8" ht="15.75" customHeight="1" thickBot="1">
      <c r="A12" s="249"/>
      <c r="B12" s="370" t="s">
        <v>530</v>
      </c>
      <c r="C12" s="250"/>
      <c r="D12" s="251">
        <f>D13-D21</f>
        <v>2945559</v>
      </c>
      <c r="E12" s="251">
        <f>E13-E21</f>
        <v>1733917</v>
      </c>
      <c r="F12" s="251">
        <f>F13-F21</f>
        <v>1637031</v>
      </c>
      <c r="G12" s="252">
        <f t="shared" si="0"/>
        <v>0.9441230462588464</v>
      </c>
      <c r="H12" s="29"/>
    </row>
    <row r="13" spans="1:8" s="29" customFormat="1" ht="15.75" customHeight="1" thickBot="1">
      <c r="A13" s="671" t="s">
        <v>531</v>
      </c>
      <c r="B13" s="665" t="s">
        <v>532</v>
      </c>
      <c r="C13" s="665"/>
      <c r="D13" s="665">
        <f>D16+D20+D14+D18</f>
        <v>3495559</v>
      </c>
      <c r="E13" s="665">
        <f>E14+E15+E16+E17+E18+E19+E20</f>
        <v>2926885</v>
      </c>
      <c r="F13" s="665">
        <f>F14+F15+F16+F17+F18+F19+F20</f>
        <v>2829999</v>
      </c>
      <c r="G13" s="670">
        <f t="shared" si="0"/>
        <v>0.9668979136522275</v>
      </c>
      <c r="H13" s="99"/>
    </row>
    <row r="14" spans="1:8" ht="12.75">
      <c r="A14" s="253" t="s">
        <v>22</v>
      </c>
      <c r="B14" s="311" t="s">
        <v>533</v>
      </c>
      <c r="C14" s="254" t="s">
        <v>534</v>
      </c>
      <c r="D14" s="248">
        <v>3067725</v>
      </c>
      <c r="E14" s="248">
        <v>752477</v>
      </c>
      <c r="F14" s="114">
        <v>656000</v>
      </c>
      <c r="G14" s="113">
        <f t="shared" si="0"/>
        <v>0.8717874433371385</v>
      </c>
      <c r="H14" s="29"/>
    </row>
    <row r="15" spans="1:8" ht="24.75" customHeight="1">
      <c r="A15" s="92" t="s">
        <v>37</v>
      </c>
      <c r="B15" s="74" t="s">
        <v>657</v>
      </c>
      <c r="C15" s="255" t="s">
        <v>658</v>
      </c>
      <c r="D15" s="256">
        <v>0</v>
      </c>
      <c r="E15" s="256">
        <v>1887532</v>
      </c>
      <c r="F15" s="33">
        <v>1887123</v>
      </c>
      <c r="G15" s="113">
        <f t="shared" si="0"/>
        <v>0.9997833149318793</v>
      </c>
      <c r="H15" s="29"/>
    </row>
    <row r="16" spans="1:8" ht="16.5" customHeight="1">
      <c r="A16" s="92" t="s">
        <v>44</v>
      </c>
      <c r="B16" s="131" t="s">
        <v>535</v>
      </c>
      <c r="C16" s="255" t="s">
        <v>536</v>
      </c>
      <c r="D16" s="256">
        <v>119000</v>
      </c>
      <c r="E16" s="256">
        <v>0</v>
      </c>
      <c r="F16" s="33">
        <v>0</v>
      </c>
      <c r="G16" s="37">
        <v>0</v>
      </c>
      <c r="H16" s="29"/>
    </row>
    <row r="17" spans="1:8" ht="18" customHeight="1">
      <c r="A17" s="92" t="s">
        <v>62</v>
      </c>
      <c r="B17" s="131" t="s">
        <v>537</v>
      </c>
      <c r="C17" s="255" t="s">
        <v>538</v>
      </c>
      <c r="D17" s="256">
        <v>0</v>
      </c>
      <c r="E17" s="256">
        <v>0</v>
      </c>
      <c r="F17" s="33">
        <v>0</v>
      </c>
      <c r="G17" s="37">
        <v>0</v>
      </c>
      <c r="H17" s="29"/>
    </row>
    <row r="18" spans="1:8" ht="18.75" customHeight="1">
      <c r="A18" s="92" t="s">
        <v>71</v>
      </c>
      <c r="B18" s="74" t="s">
        <v>539</v>
      </c>
      <c r="C18" s="255" t="s">
        <v>540</v>
      </c>
      <c r="D18" s="256">
        <v>182463</v>
      </c>
      <c r="E18" s="256">
        <v>0</v>
      </c>
      <c r="F18" s="33">
        <v>0</v>
      </c>
      <c r="G18" s="37">
        <v>0</v>
      </c>
      <c r="H18" s="29"/>
    </row>
    <row r="19" spans="1:8" ht="18.75" customHeight="1">
      <c r="A19" s="92">
        <v>6</v>
      </c>
      <c r="B19" s="74" t="s">
        <v>541</v>
      </c>
      <c r="C19" s="255" t="s">
        <v>542</v>
      </c>
      <c r="D19" s="256">
        <v>0</v>
      </c>
      <c r="E19" s="256">
        <v>0</v>
      </c>
      <c r="F19" s="33">
        <v>0</v>
      </c>
      <c r="G19" s="37">
        <v>0</v>
      </c>
      <c r="H19" s="29"/>
    </row>
    <row r="20" spans="1:8" ht="13.5" thickBot="1">
      <c r="A20" s="257" t="s">
        <v>95</v>
      </c>
      <c r="B20" s="310" t="s">
        <v>543</v>
      </c>
      <c r="C20" s="258" t="s">
        <v>536</v>
      </c>
      <c r="D20" s="251">
        <v>126371</v>
      </c>
      <c r="E20" s="251">
        <v>286876</v>
      </c>
      <c r="F20" s="259">
        <v>286876</v>
      </c>
      <c r="G20" s="252">
        <f>F20/E20</f>
        <v>1</v>
      </c>
      <c r="H20" s="29"/>
    </row>
    <row r="21" spans="1:8" ht="15.75" customHeight="1" thickBot="1">
      <c r="A21" s="671" t="s">
        <v>544</v>
      </c>
      <c r="B21" s="665" t="s">
        <v>545</v>
      </c>
      <c r="C21" s="679"/>
      <c r="D21" s="672">
        <f>D22+D25</f>
        <v>550000</v>
      </c>
      <c r="E21" s="673">
        <f>E22+E23+E24+E25+E26+E27</f>
        <v>1192968</v>
      </c>
      <c r="F21" s="673">
        <f>F22+F23+F24+F25+F26+F27</f>
        <v>1192968</v>
      </c>
      <c r="G21" s="670">
        <f>F21/E21</f>
        <v>1</v>
      </c>
      <c r="H21" s="99"/>
    </row>
    <row r="22" spans="1:8" ht="15.75" customHeight="1" thickBot="1">
      <c r="A22" s="260" t="s">
        <v>22</v>
      </c>
      <c r="B22" s="371" t="s">
        <v>546</v>
      </c>
      <c r="C22" s="262" t="s">
        <v>547</v>
      </c>
      <c r="D22" s="263">
        <v>550000</v>
      </c>
      <c r="E22" s="263">
        <v>1086568</v>
      </c>
      <c r="F22" s="261">
        <v>1086568</v>
      </c>
      <c r="G22" s="264">
        <f>F22/E22</f>
        <v>1</v>
      </c>
      <c r="H22" s="29"/>
    </row>
    <row r="23" spans="1:8" ht="21.75" customHeight="1" thickBot="1">
      <c r="A23" s="92" t="s">
        <v>37</v>
      </c>
      <c r="B23" s="74" t="s">
        <v>659</v>
      </c>
      <c r="C23" s="255" t="s">
        <v>658</v>
      </c>
      <c r="D23" s="256">
        <v>0</v>
      </c>
      <c r="E23" s="256">
        <v>0</v>
      </c>
      <c r="F23" s="33">
        <v>0</v>
      </c>
      <c r="G23" s="264">
        <v>0</v>
      </c>
      <c r="H23" s="29"/>
    </row>
    <row r="24" spans="1:8" ht="15.75" customHeight="1" thickBot="1">
      <c r="A24" s="92" t="s">
        <v>44</v>
      </c>
      <c r="B24" s="131" t="s">
        <v>550</v>
      </c>
      <c r="C24" s="255" t="s">
        <v>547</v>
      </c>
      <c r="D24" s="256">
        <v>0</v>
      </c>
      <c r="E24" s="256">
        <v>56400</v>
      </c>
      <c r="F24" s="33">
        <v>56400</v>
      </c>
      <c r="G24" s="264">
        <f>F24/E24</f>
        <v>1</v>
      </c>
      <c r="H24" s="29"/>
    </row>
    <row r="25" spans="1:14" ht="15.75" customHeight="1">
      <c r="A25" s="92" t="s">
        <v>62</v>
      </c>
      <c r="B25" s="131" t="s">
        <v>548</v>
      </c>
      <c r="C25" s="255" t="s">
        <v>549</v>
      </c>
      <c r="D25" s="256">
        <v>0</v>
      </c>
      <c r="E25" s="256">
        <v>50000</v>
      </c>
      <c r="F25" s="33">
        <v>50000</v>
      </c>
      <c r="G25" s="264">
        <f>F25/E25</f>
        <v>1</v>
      </c>
      <c r="H25" s="29"/>
      <c r="N25" s="29"/>
    </row>
    <row r="26" spans="1:8" ht="15.75" customHeight="1">
      <c r="A26" s="92" t="s">
        <v>71</v>
      </c>
      <c r="B26" s="131" t="s">
        <v>551</v>
      </c>
      <c r="C26" s="255" t="s">
        <v>552</v>
      </c>
      <c r="D26" s="256">
        <v>0</v>
      </c>
      <c r="E26" s="256">
        <v>0</v>
      </c>
      <c r="F26" s="33">
        <v>0</v>
      </c>
      <c r="G26" s="265">
        <v>0</v>
      </c>
      <c r="H26" s="29"/>
    </row>
    <row r="27" spans="1:8" ht="20.25" customHeight="1" thickBot="1">
      <c r="A27" s="266">
        <v>6</v>
      </c>
      <c r="B27" s="372" t="s">
        <v>553</v>
      </c>
      <c r="C27" s="267" t="s">
        <v>549</v>
      </c>
      <c r="D27" s="268">
        <v>0</v>
      </c>
      <c r="E27" s="268">
        <v>0</v>
      </c>
      <c r="F27" s="116">
        <v>0</v>
      </c>
      <c r="G27" s="269">
        <v>0</v>
      </c>
      <c r="H27" s="29"/>
    </row>
    <row r="28" spans="1:8" ht="12.75">
      <c r="A28" s="29"/>
      <c r="B28" s="29"/>
      <c r="C28" s="29"/>
      <c r="D28" s="29"/>
      <c r="E28" s="29"/>
      <c r="F28" s="29"/>
      <c r="G28" s="29"/>
      <c r="H28" s="29"/>
    </row>
    <row r="29" spans="1:8" ht="15" customHeight="1" hidden="1">
      <c r="A29" s="270"/>
      <c r="B29" s="271"/>
      <c r="C29" s="271"/>
      <c r="D29" s="248"/>
      <c r="E29" s="272"/>
      <c r="F29" s="114"/>
      <c r="G29" s="114"/>
      <c r="H29" s="29"/>
    </row>
    <row r="30" spans="1:8" ht="12.75" hidden="1">
      <c r="A30" s="273"/>
      <c r="B30" s="40"/>
      <c r="C30" s="40"/>
      <c r="D30" s="256"/>
      <c r="E30" s="274"/>
      <c r="F30" s="33"/>
      <c r="G30" s="33"/>
      <c r="H30" s="29"/>
    </row>
    <row r="31" spans="1:8" ht="29.25" customHeight="1" hidden="1">
      <c r="A31" s="273"/>
      <c r="B31" s="910"/>
      <c r="C31" s="911"/>
      <c r="D31" s="256"/>
      <c r="E31" s="274"/>
      <c r="F31" s="33"/>
      <c r="G31" s="33"/>
      <c r="H31" s="29"/>
    </row>
    <row r="32" spans="1:8" ht="24.75" customHeight="1" hidden="1" thickBot="1">
      <c r="A32" s="275"/>
      <c r="B32" s="900"/>
      <c r="C32" s="900"/>
      <c r="D32" s="268"/>
      <c r="E32" s="276"/>
      <c r="F32" s="33"/>
      <c r="G32" s="33"/>
      <c r="H32" s="29"/>
    </row>
    <row r="34" ht="12.75" hidden="1"/>
    <row r="37" ht="12.75" hidden="1"/>
    <row r="39" ht="30.75" customHeight="1">
      <c r="C39" s="54"/>
    </row>
    <row r="42" ht="12.75">
      <c r="E42" t="s">
        <v>468</v>
      </c>
    </row>
  </sheetData>
  <mergeCells count="13">
    <mergeCell ref="B32:C32"/>
    <mergeCell ref="A3:K3"/>
    <mergeCell ref="C6:C7"/>
    <mergeCell ref="B6:B7"/>
    <mergeCell ref="A6:A7"/>
    <mergeCell ref="D6:D7"/>
    <mergeCell ref="E6:E7"/>
    <mergeCell ref="B31:C31"/>
    <mergeCell ref="F6:F7"/>
    <mergeCell ref="G6:G7"/>
    <mergeCell ref="C2:E2"/>
    <mergeCell ref="I6:K7"/>
    <mergeCell ref="F2:H2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L31"/>
  <sheetViews>
    <sheetView workbookViewId="0" topLeftCell="A2">
      <selection activeCell="A3" sqref="A3:L3"/>
    </sheetView>
  </sheetViews>
  <sheetFormatPr defaultColWidth="9.00390625" defaultRowHeight="12.75"/>
  <cols>
    <col min="1" max="1" width="5.25390625" style="0" customWidth="1"/>
    <col min="2" max="2" width="6.00390625" style="0" customWidth="1"/>
    <col min="3" max="3" width="5.125" style="0" customWidth="1"/>
    <col min="4" max="4" width="30.875" style="0" customWidth="1"/>
    <col min="5" max="5" width="11.00390625" style="0" customWidth="1"/>
    <col min="6" max="6" width="10.25390625" style="0" customWidth="1"/>
    <col min="7" max="7" width="10.375" style="0" customWidth="1"/>
    <col min="8" max="8" width="11.125" style="0" customWidth="1"/>
    <col min="9" max="9" width="10.625" style="0" customWidth="1"/>
    <col min="10" max="10" width="10.875" style="0" customWidth="1"/>
    <col min="11" max="11" width="11.125" style="0" hidden="1" customWidth="1"/>
    <col min="12" max="12" width="22.625" style="0" customWidth="1"/>
  </cols>
  <sheetData>
    <row r="1" spans="11:12" ht="12.75" customHeight="1" hidden="1">
      <c r="K1" s="924" t="s">
        <v>830</v>
      </c>
      <c r="L1" s="924"/>
    </row>
    <row r="2" spans="11:12" ht="17.25" customHeight="1">
      <c r="K2" s="924"/>
      <c r="L2" s="924"/>
    </row>
    <row r="3" spans="1:12" ht="45" customHeight="1">
      <c r="A3" s="925" t="s">
        <v>829</v>
      </c>
      <c r="B3" s="925"/>
      <c r="C3" s="925"/>
      <c r="D3" s="925"/>
      <c r="E3" s="925"/>
      <c r="F3" s="925"/>
      <c r="G3" s="925"/>
      <c r="H3" s="925"/>
      <c r="I3" s="925"/>
      <c r="J3" s="925"/>
      <c r="K3" s="925"/>
      <c r="L3" s="925"/>
    </row>
    <row r="4" spans="1:12" ht="18.75" customHeight="1">
      <c r="A4" s="926" t="s">
        <v>828</v>
      </c>
      <c r="B4" s="928" t="s">
        <v>20</v>
      </c>
      <c r="C4" s="912" t="s">
        <v>21</v>
      </c>
      <c r="D4" s="930" t="s">
        <v>832</v>
      </c>
      <c r="E4" s="912" t="s">
        <v>834</v>
      </c>
      <c r="F4" s="915" t="s">
        <v>835</v>
      </c>
      <c r="G4" s="918" t="s">
        <v>831</v>
      </c>
      <c r="H4" s="919"/>
      <c r="I4" s="919"/>
      <c r="J4" s="920"/>
      <c r="K4" s="472"/>
      <c r="L4" s="930" t="s">
        <v>775</v>
      </c>
    </row>
    <row r="5" spans="1:12" ht="12.75" customHeight="1">
      <c r="A5" s="926"/>
      <c r="B5" s="928"/>
      <c r="C5" s="929"/>
      <c r="D5" s="930"/>
      <c r="E5" s="913"/>
      <c r="F5" s="916"/>
      <c r="G5" s="918" t="s">
        <v>836</v>
      </c>
      <c r="H5" s="919"/>
      <c r="I5" s="919"/>
      <c r="J5" s="920"/>
      <c r="K5" s="472"/>
      <c r="L5" s="930"/>
    </row>
    <row r="6" spans="1:12" ht="45.75" thickBot="1">
      <c r="A6" s="927"/>
      <c r="B6" s="912"/>
      <c r="C6" s="929"/>
      <c r="D6" s="915"/>
      <c r="E6" s="914"/>
      <c r="F6" s="917"/>
      <c r="G6" s="782" t="s">
        <v>777</v>
      </c>
      <c r="H6" s="783" t="s">
        <v>827</v>
      </c>
      <c r="I6" s="782" t="s">
        <v>826</v>
      </c>
      <c r="J6" s="782" t="s">
        <v>833</v>
      </c>
      <c r="K6" s="782"/>
      <c r="L6" s="915"/>
    </row>
    <row r="7" spans="1:12" ht="12" customHeight="1" thickBot="1">
      <c r="A7" s="754">
        <v>1</v>
      </c>
      <c r="B7" s="755">
        <v>2</v>
      </c>
      <c r="C7" s="755">
        <v>3</v>
      </c>
      <c r="D7" s="755">
        <v>4</v>
      </c>
      <c r="E7" s="755">
        <v>5</v>
      </c>
      <c r="F7" s="755">
        <v>6</v>
      </c>
      <c r="G7" s="755">
        <v>7</v>
      </c>
      <c r="H7" s="755">
        <v>8</v>
      </c>
      <c r="I7" s="755">
        <v>9</v>
      </c>
      <c r="J7" s="755">
        <v>10</v>
      </c>
      <c r="K7" s="755">
        <v>9</v>
      </c>
      <c r="L7" s="756">
        <v>11</v>
      </c>
    </row>
    <row r="8" ht="12.75" hidden="1"/>
    <row r="9" spans="1:12" ht="30.75" customHeight="1">
      <c r="A9" s="131">
        <v>600</v>
      </c>
      <c r="B9" s="131">
        <v>60014</v>
      </c>
      <c r="C9" s="131">
        <v>6050</v>
      </c>
      <c r="D9" s="753" t="s">
        <v>825</v>
      </c>
      <c r="E9" s="750">
        <v>37952</v>
      </c>
      <c r="F9" s="750">
        <v>37952</v>
      </c>
      <c r="G9" s="750">
        <v>18976</v>
      </c>
      <c r="H9" s="750">
        <v>18976</v>
      </c>
      <c r="I9" s="750">
        <v>0</v>
      </c>
      <c r="J9" s="750">
        <v>0</v>
      </c>
      <c r="K9" s="750"/>
      <c r="L9" s="706" t="s">
        <v>824</v>
      </c>
    </row>
    <row r="10" spans="1:12" ht="28.5" customHeight="1">
      <c r="A10" s="131">
        <v>600</v>
      </c>
      <c r="B10" s="131">
        <v>60014</v>
      </c>
      <c r="C10" s="131">
        <v>6050</v>
      </c>
      <c r="D10" s="753" t="s">
        <v>823</v>
      </c>
      <c r="E10" s="750">
        <v>135785</v>
      </c>
      <c r="F10" s="750">
        <v>135785</v>
      </c>
      <c r="G10" s="750">
        <v>27892</v>
      </c>
      <c r="H10" s="750">
        <v>40000</v>
      </c>
      <c r="I10" s="750">
        <v>0</v>
      </c>
      <c r="J10" s="750">
        <v>67893</v>
      </c>
      <c r="K10" s="750">
        <v>0</v>
      </c>
      <c r="L10" s="706" t="s">
        <v>821</v>
      </c>
    </row>
    <row r="11" spans="1:12" ht="19.5">
      <c r="A11" s="131">
        <v>600</v>
      </c>
      <c r="B11" s="131">
        <v>60014</v>
      </c>
      <c r="C11" s="131">
        <v>6060</v>
      </c>
      <c r="D11" s="753" t="s">
        <v>822</v>
      </c>
      <c r="E11" s="750">
        <v>97800</v>
      </c>
      <c r="F11" s="750">
        <v>97800</v>
      </c>
      <c r="G11" s="750">
        <v>97800</v>
      </c>
      <c r="H11" s="750">
        <v>0</v>
      </c>
      <c r="I11" s="750">
        <v>0</v>
      </c>
      <c r="J11" s="750">
        <v>0</v>
      </c>
      <c r="K11" s="750"/>
      <c r="L11" s="706" t="s">
        <v>821</v>
      </c>
    </row>
    <row r="12" spans="1:12" ht="19.5">
      <c r="A12" s="131">
        <v>801</v>
      </c>
      <c r="B12" s="131">
        <v>80130</v>
      </c>
      <c r="C12" s="131">
        <v>6050</v>
      </c>
      <c r="D12" s="753" t="s">
        <v>820</v>
      </c>
      <c r="E12" s="750">
        <v>70000</v>
      </c>
      <c r="F12" s="750">
        <v>70000</v>
      </c>
      <c r="G12" s="750">
        <v>70000</v>
      </c>
      <c r="H12" s="750">
        <v>0</v>
      </c>
      <c r="I12" s="750">
        <v>0</v>
      </c>
      <c r="J12" s="750">
        <v>0</v>
      </c>
      <c r="K12" s="750">
        <v>0</v>
      </c>
      <c r="L12" s="706" t="s">
        <v>819</v>
      </c>
    </row>
    <row r="13" spans="1:12" ht="19.5">
      <c r="A13" s="131">
        <v>801</v>
      </c>
      <c r="B13" s="131">
        <v>85154</v>
      </c>
      <c r="C13" s="131">
        <v>6060</v>
      </c>
      <c r="D13" s="751" t="s">
        <v>810</v>
      </c>
      <c r="E13" s="750">
        <v>25700</v>
      </c>
      <c r="F13" s="750">
        <v>25700</v>
      </c>
      <c r="G13" s="750">
        <v>0</v>
      </c>
      <c r="H13" s="750">
        <v>0</v>
      </c>
      <c r="I13" s="750">
        <v>25700</v>
      </c>
      <c r="J13" s="750">
        <v>0</v>
      </c>
      <c r="K13" s="750"/>
      <c r="L13" s="752" t="s">
        <v>818</v>
      </c>
    </row>
    <row r="14" spans="1:12" ht="29.25">
      <c r="A14" s="131">
        <v>710</v>
      </c>
      <c r="B14" s="131">
        <v>71015</v>
      </c>
      <c r="C14" s="131">
        <v>6060</v>
      </c>
      <c r="D14" s="753" t="s">
        <v>817</v>
      </c>
      <c r="E14" s="750">
        <v>3500</v>
      </c>
      <c r="F14" s="750">
        <v>3500</v>
      </c>
      <c r="G14" s="750">
        <v>0</v>
      </c>
      <c r="H14" s="750">
        <v>0</v>
      </c>
      <c r="I14" s="750">
        <v>3500</v>
      </c>
      <c r="J14" s="750">
        <v>0</v>
      </c>
      <c r="K14" s="750">
        <v>0</v>
      </c>
      <c r="L14" s="706" t="s">
        <v>816</v>
      </c>
    </row>
    <row r="15" spans="1:12" ht="22.5" customHeight="1">
      <c r="A15" s="131">
        <v>750</v>
      </c>
      <c r="B15" s="131">
        <v>75020</v>
      </c>
      <c r="C15" s="131">
        <v>6060</v>
      </c>
      <c r="D15" s="751" t="s">
        <v>815</v>
      </c>
      <c r="E15" s="750">
        <v>14066</v>
      </c>
      <c r="F15" s="750">
        <v>14066</v>
      </c>
      <c r="G15" s="750">
        <v>14066</v>
      </c>
      <c r="H15" s="750">
        <v>0</v>
      </c>
      <c r="I15" s="750">
        <v>0</v>
      </c>
      <c r="J15" s="750">
        <v>0</v>
      </c>
      <c r="K15" s="750"/>
      <c r="L15" s="706" t="s">
        <v>805</v>
      </c>
    </row>
    <row r="16" spans="1:12" ht="23.25" customHeight="1">
      <c r="A16" s="131">
        <v>851</v>
      </c>
      <c r="B16" s="131">
        <v>85111</v>
      </c>
      <c r="C16" s="131">
        <v>6239</v>
      </c>
      <c r="D16" s="751" t="s">
        <v>814</v>
      </c>
      <c r="E16" s="750">
        <v>163935</v>
      </c>
      <c r="F16" s="750">
        <v>161381</v>
      </c>
      <c r="G16" s="750">
        <v>0</v>
      </c>
      <c r="H16" s="750">
        <v>0</v>
      </c>
      <c r="I16" s="750">
        <v>161381</v>
      </c>
      <c r="J16" s="750">
        <v>0</v>
      </c>
      <c r="K16" s="750"/>
      <c r="L16" s="758" t="s">
        <v>813</v>
      </c>
    </row>
    <row r="17" spans="1:12" ht="22.5">
      <c r="A17" s="131">
        <v>851</v>
      </c>
      <c r="B17" s="131">
        <v>85154</v>
      </c>
      <c r="C17" s="131">
        <v>6060</v>
      </c>
      <c r="D17" s="751" t="s">
        <v>810</v>
      </c>
      <c r="E17" s="750">
        <v>22950</v>
      </c>
      <c r="F17" s="750">
        <v>22950</v>
      </c>
      <c r="G17" s="750">
        <v>0</v>
      </c>
      <c r="H17" s="750">
        <v>0</v>
      </c>
      <c r="I17" s="750">
        <v>22950</v>
      </c>
      <c r="J17" s="750">
        <v>0</v>
      </c>
      <c r="K17" s="750"/>
      <c r="L17" s="758" t="s">
        <v>812</v>
      </c>
    </row>
    <row r="18" spans="1:12" ht="15.75" customHeight="1">
      <c r="A18" s="131">
        <v>854</v>
      </c>
      <c r="B18" s="131">
        <v>85403</v>
      </c>
      <c r="C18" s="131">
        <v>6060</v>
      </c>
      <c r="D18" s="751" t="s">
        <v>811</v>
      </c>
      <c r="E18" s="750">
        <v>102530</v>
      </c>
      <c r="F18" s="750">
        <v>102530</v>
      </c>
      <c r="G18" s="750">
        <v>25633</v>
      </c>
      <c r="H18" s="750">
        <v>0</v>
      </c>
      <c r="I18" s="750">
        <v>0</v>
      </c>
      <c r="J18" s="750">
        <v>76897</v>
      </c>
      <c r="K18" s="750"/>
      <c r="L18" s="931" t="s">
        <v>840</v>
      </c>
    </row>
    <row r="19" spans="1:12" ht="15" customHeight="1">
      <c r="A19" s="131">
        <v>854</v>
      </c>
      <c r="B19" s="131">
        <v>85403</v>
      </c>
      <c r="C19" s="131">
        <v>6060</v>
      </c>
      <c r="D19" s="751" t="s">
        <v>810</v>
      </c>
      <c r="E19" s="750">
        <v>20994</v>
      </c>
      <c r="F19" s="750">
        <v>20994</v>
      </c>
      <c r="G19" s="750">
        <v>19994</v>
      </c>
      <c r="H19" s="750">
        <v>0</v>
      </c>
      <c r="I19" s="750">
        <v>0</v>
      </c>
      <c r="J19" s="750">
        <v>1000</v>
      </c>
      <c r="K19" s="750"/>
      <c r="L19" s="932"/>
    </row>
    <row r="20" spans="1:12" ht="14.25" customHeight="1">
      <c r="A20" s="131">
        <v>801</v>
      </c>
      <c r="B20" s="131">
        <v>80111</v>
      </c>
      <c r="C20" s="131">
        <v>6060</v>
      </c>
      <c r="D20" s="751" t="s">
        <v>810</v>
      </c>
      <c r="E20" s="750">
        <v>2500</v>
      </c>
      <c r="F20" s="750">
        <v>2500</v>
      </c>
      <c r="G20" s="750">
        <v>1000</v>
      </c>
      <c r="H20" s="750">
        <v>0</v>
      </c>
      <c r="I20" s="750">
        <v>0</v>
      </c>
      <c r="J20" s="750">
        <v>1500</v>
      </c>
      <c r="K20" s="750"/>
      <c r="L20" s="933"/>
    </row>
    <row r="21" spans="1:12" ht="21.75" customHeight="1">
      <c r="A21" s="131">
        <v>754</v>
      </c>
      <c r="B21" s="131">
        <v>75405</v>
      </c>
      <c r="C21" s="131">
        <v>6150</v>
      </c>
      <c r="D21" s="751" t="s">
        <v>809</v>
      </c>
      <c r="E21" s="750">
        <v>5000</v>
      </c>
      <c r="F21" s="750">
        <v>5000</v>
      </c>
      <c r="G21" s="750">
        <v>5000</v>
      </c>
      <c r="H21" s="750">
        <v>0</v>
      </c>
      <c r="I21" s="750">
        <v>0</v>
      </c>
      <c r="J21" s="750">
        <v>0</v>
      </c>
      <c r="K21" s="750"/>
      <c r="L21" s="706" t="s">
        <v>805</v>
      </c>
    </row>
    <row r="22" spans="1:12" ht="33.75">
      <c r="A22" s="131">
        <v>754</v>
      </c>
      <c r="B22" s="131">
        <v>75411</v>
      </c>
      <c r="C22" s="131">
        <v>6060</v>
      </c>
      <c r="D22" s="751" t="s">
        <v>808</v>
      </c>
      <c r="E22" s="750">
        <v>60000</v>
      </c>
      <c r="F22" s="750">
        <v>60000</v>
      </c>
      <c r="G22" s="750">
        <v>60000</v>
      </c>
      <c r="H22" s="750"/>
      <c r="I22" s="750"/>
      <c r="J22" s="750"/>
      <c r="K22" s="750"/>
      <c r="L22" s="758" t="s">
        <v>807</v>
      </c>
    </row>
    <row r="23" spans="1:12" ht="21.75" customHeight="1">
      <c r="A23" s="131">
        <v>754</v>
      </c>
      <c r="B23" s="131">
        <v>75414</v>
      </c>
      <c r="C23" s="131">
        <v>6060</v>
      </c>
      <c r="D23" s="751" t="s">
        <v>806</v>
      </c>
      <c r="E23" s="750">
        <v>19000</v>
      </c>
      <c r="F23" s="750">
        <v>18995</v>
      </c>
      <c r="G23" s="750">
        <v>0</v>
      </c>
      <c r="H23" s="750">
        <v>0</v>
      </c>
      <c r="I23" s="750">
        <v>18995</v>
      </c>
      <c r="J23" s="750">
        <v>0</v>
      </c>
      <c r="K23" s="750"/>
      <c r="L23" s="706" t="s">
        <v>805</v>
      </c>
    </row>
    <row r="24" spans="1:12" ht="12.75">
      <c r="A24" s="921" t="s">
        <v>497</v>
      </c>
      <c r="B24" s="922"/>
      <c r="C24" s="922"/>
      <c r="D24" s="923"/>
      <c r="E24" s="749">
        <f aca="true" t="shared" si="0" ref="E24:J24">E9+E10+E11+E12+E13+E14+E15+E16+E17+E18+E19+E20+E21+E22+E23</f>
        <v>781712</v>
      </c>
      <c r="F24" s="749">
        <f t="shared" si="0"/>
        <v>779153</v>
      </c>
      <c r="G24" s="749">
        <f t="shared" si="0"/>
        <v>340361</v>
      </c>
      <c r="H24" s="749">
        <f t="shared" si="0"/>
        <v>58976</v>
      </c>
      <c r="I24" s="749">
        <f t="shared" si="0"/>
        <v>232526</v>
      </c>
      <c r="J24" s="749">
        <f t="shared" si="0"/>
        <v>147290</v>
      </c>
      <c r="K24" s="748" t="e">
        <f>#REF!+K14+K12+K10+K9</f>
        <v>#REF!</v>
      </c>
      <c r="L24" s="747" t="s">
        <v>555</v>
      </c>
    </row>
    <row r="25" spans="1:12" ht="12.75">
      <c r="A25" s="118"/>
      <c r="B25" s="118"/>
      <c r="C25" s="118"/>
      <c r="D25" s="118"/>
      <c r="E25" s="118"/>
      <c r="F25" s="118"/>
      <c r="G25" s="746"/>
      <c r="H25" s="118"/>
      <c r="I25" s="118"/>
      <c r="J25" s="118"/>
      <c r="K25" s="118"/>
      <c r="L25" s="118"/>
    </row>
    <row r="26" spans="1:12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1:12" ht="12.75">
      <c r="A27" s="118"/>
      <c r="B27" s="118"/>
      <c r="C27" s="118"/>
      <c r="D27" s="118"/>
      <c r="E27" s="118"/>
      <c r="F27" s="118"/>
      <c r="G27" s="118"/>
      <c r="H27" s="118"/>
      <c r="I27" s="118"/>
      <c r="J27" s="831"/>
      <c r="K27" s="831"/>
      <c r="L27" s="831"/>
    </row>
    <row r="28" spans="1:12" ht="12.75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2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ht="12.75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2.75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</sheetData>
  <mergeCells count="14">
    <mergeCell ref="A24:D24"/>
    <mergeCell ref="J27:L27"/>
    <mergeCell ref="K1:L2"/>
    <mergeCell ref="A3:L3"/>
    <mergeCell ref="A4:A6"/>
    <mergeCell ref="B4:B6"/>
    <mergeCell ref="C4:C6"/>
    <mergeCell ref="D4:D6"/>
    <mergeCell ref="L4:L6"/>
    <mergeCell ref="L18:L20"/>
    <mergeCell ref="E4:E6"/>
    <mergeCell ref="F4:F6"/>
    <mergeCell ref="G4:J4"/>
    <mergeCell ref="G5:J5"/>
  </mergeCells>
  <printOptions horizontalCentered="1"/>
  <pageMargins left="0.3937007874015748" right="0.3937007874015748" top="0.5905511811023623" bottom="0.7874015748031497" header="0.31496062992125984" footer="0.5118110236220472"/>
  <pageSetup horizontalDpi="360" verticalDpi="360" orientation="landscape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Q28"/>
  <sheetViews>
    <sheetView workbookViewId="0" topLeftCell="A4">
      <selection activeCell="A4" sqref="A4:A6"/>
    </sheetView>
  </sheetViews>
  <sheetFormatPr defaultColWidth="9.00390625" defaultRowHeight="12.75"/>
  <cols>
    <col min="1" max="1" width="3.00390625" style="697" customWidth="1"/>
    <col min="2" max="2" width="4.25390625" style="697" customWidth="1"/>
    <col min="3" max="3" width="3.875" style="697" customWidth="1"/>
    <col min="4" max="4" width="14.625" style="697" customWidth="1"/>
    <col min="5" max="5" width="9.75390625" style="697" customWidth="1"/>
    <col min="6" max="6" width="9.25390625" style="697" customWidth="1"/>
    <col min="7" max="7" width="8.875" style="697" customWidth="1"/>
    <col min="8" max="8" width="10.125" style="697" hidden="1" customWidth="1"/>
    <col min="9" max="9" width="10.125" style="697" customWidth="1"/>
    <col min="10" max="10" width="10.75390625" style="697" customWidth="1"/>
    <col min="11" max="11" width="9.75390625" style="697" customWidth="1"/>
    <col min="12" max="12" width="9.875" style="697" customWidth="1"/>
    <col min="13" max="13" width="10.375" style="697" customWidth="1"/>
    <col min="14" max="14" width="11.625" style="697" customWidth="1"/>
    <col min="15" max="15" width="20.125" style="697" customWidth="1"/>
    <col min="16" max="16384" width="9.125" style="697" customWidth="1"/>
  </cols>
  <sheetData>
    <row r="1" spans="13:14" ht="10.5" customHeight="1">
      <c r="M1" s="935" t="s">
        <v>837</v>
      </c>
      <c r="N1" s="935"/>
    </row>
    <row r="2" spans="3:15" ht="7.5" customHeight="1">
      <c r="C2" s="698"/>
      <c r="E2" s="699"/>
      <c r="I2" s="936"/>
      <c r="J2" s="936"/>
      <c r="K2" s="936"/>
      <c r="L2" s="936"/>
      <c r="M2" s="936"/>
      <c r="N2" s="936"/>
      <c r="O2" s="936"/>
    </row>
    <row r="3" spans="1:15" ht="16.5" customHeight="1">
      <c r="A3" s="937" t="s">
        <v>771</v>
      </c>
      <c r="B3" s="937"/>
      <c r="C3" s="937"/>
      <c r="D3" s="937"/>
      <c r="E3" s="937"/>
      <c r="F3" s="937"/>
      <c r="G3" s="937"/>
      <c r="H3" s="937"/>
      <c r="I3" s="937"/>
      <c r="J3" s="937"/>
      <c r="K3" s="937"/>
      <c r="L3" s="937"/>
      <c r="M3" s="937"/>
      <c r="N3" s="937"/>
      <c r="O3" s="937"/>
    </row>
    <row r="4" spans="1:15" s="700" customFormat="1" ht="12" customHeight="1">
      <c r="A4" s="938" t="s">
        <v>465</v>
      </c>
      <c r="B4" s="938" t="s">
        <v>772</v>
      </c>
      <c r="C4" s="939" t="s">
        <v>21</v>
      </c>
      <c r="D4" s="942" t="s">
        <v>773</v>
      </c>
      <c r="E4" s="942" t="s">
        <v>838</v>
      </c>
      <c r="F4" s="959" t="s">
        <v>839</v>
      </c>
      <c r="G4" s="962" t="s">
        <v>774</v>
      </c>
      <c r="H4" s="963"/>
      <c r="I4" s="963"/>
      <c r="J4" s="963"/>
      <c r="K4" s="963"/>
      <c r="L4" s="963"/>
      <c r="M4" s="963"/>
      <c r="N4" s="963"/>
      <c r="O4" s="943" t="s">
        <v>775</v>
      </c>
    </row>
    <row r="5" spans="1:15" s="700" customFormat="1" ht="11.25" customHeight="1">
      <c r="A5" s="938"/>
      <c r="B5" s="938"/>
      <c r="C5" s="940"/>
      <c r="D5" s="942"/>
      <c r="E5" s="942"/>
      <c r="F5" s="960"/>
      <c r="G5" s="962" t="s">
        <v>776</v>
      </c>
      <c r="H5" s="963"/>
      <c r="I5" s="963"/>
      <c r="J5" s="963"/>
      <c r="K5" s="963"/>
      <c r="L5" s="963"/>
      <c r="M5" s="964"/>
      <c r="N5" s="757" t="s">
        <v>509</v>
      </c>
      <c r="O5" s="943"/>
    </row>
    <row r="6" spans="1:17" s="700" customFormat="1" ht="36" customHeight="1">
      <c r="A6" s="938"/>
      <c r="B6" s="938"/>
      <c r="C6" s="941"/>
      <c r="D6" s="942"/>
      <c r="E6" s="942"/>
      <c r="F6" s="961"/>
      <c r="G6" s="759" t="s">
        <v>777</v>
      </c>
      <c r="H6" s="759" t="s">
        <v>778</v>
      </c>
      <c r="I6" s="759" t="s">
        <v>779</v>
      </c>
      <c r="J6" s="759" t="s">
        <v>780</v>
      </c>
      <c r="K6" s="759" t="s">
        <v>781</v>
      </c>
      <c r="L6" s="759" t="s">
        <v>841</v>
      </c>
      <c r="M6" s="759" t="s">
        <v>782</v>
      </c>
      <c r="N6" s="759" t="s">
        <v>783</v>
      </c>
      <c r="O6" s="943"/>
      <c r="Q6" s="701"/>
    </row>
    <row r="7" spans="1:15" ht="9.75" customHeight="1">
      <c r="A7" s="702">
        <v>1</v>
      </c>
      <c r="B7" s="702">
        <v>2</v>
      </c>
      <c r="C7" s="702">
        <v>3</v>
      </c>
      <c r="D7" s="702">
        <v>4</v>
      </c>
      <c r="E7" s="702">
        <v>5</v>
      </c>
      <c r="F7" s="702">
        <v>6</v>
      </c>
      <c r="G7" s="702">
        <v>7</v>
      </c>
      <c r="H7" s="702">
        <v>8</v>
      </c>
      <c r="I7" s="702">
        <v>8</v>
      </c>
      <c r="J7" s="702">
        <v>9</v>
      </c>
      <c r="K7" s="702">
        <v>10</v>
      </c>
      <c r="L7" s="702"/>
      <c r="M7" s="702">
        <v>11</v>
      </c>
      <c r="N7" s="702">
        <v>12</v>
      </c>
      <c r="O7" s="702">
        <v>16</v>
      </c>
    </row>
    <row r="8" spans="1:15" ht="47.25" customHeight="1" hidden="1">
      <c r="A8" s="703">
        <v>600</v>
      </c>
      <c r="B8" s="703">
        <v>60014</v>
      </c>
      <c r="C8" s="703">
        <v>6050</v>
      </c>
      <c r="D8" s="704" t="s">
        <v>784</v>
      </c>
      <c r="E8" s="705" t="e">
        <f>F8+#REF!+#REF!</f>
        <v>#REF!</v>
      </c>
      <c r="F8" s="705" t="e">
        <f>G8+H8+I8+#REF!</f>
        <v>#REF!</v>
      </c>
      <c r="G8" s="705"/>
      <c r="H8" s="705"/>
      <c r="I8" s="705"/>
      <c r="J8" s="705"/>
      <c r="K8" s="705"/>
      <c r="L8" s="705"/>
      <c r="M8" s="705"/>
      <c r="N8" s="705"/>
      <c r="O8" s="706" t="s">
        <v>556</v>
      </c>
    </row>
    <row r="9" spans="1:15" ht="16.5" customHeight="1">
      <c r="A9" s="703">
        <v>600</v>
      </c>
      <c r="B9" s="703">
        <v>60014</v>
      </c>
      <c r="C9" s="703">
        <v>6058</v>
      </c>
      <c r="D9" s="944" t="s">
        <v>785</v>
      </c>
      <c r="E9" s="707">
        <v>424664</v>
      </c>
      <c r="F9" s="707">
        <f>G9+I9+J9+K9+L9+M9</f>
        <v>424664</v>
      </c>
      <c r="G9" s="705"/>
      <c r="H9" s="705">
        <v>0</v>
      </c>
      <c r="I9" s="707"/>
      <c r="J9" s="705">
        <v>424664</v>
      </c>
      <c r="K9" s="705"/>
      <c r="L9" s="705"/>
      <c r="M9" s="705"/>
      <c r="N9" s="705">
        <v>424664</v>
      </c>
      <c r="O9" s="946" t="s">
        <v>786</v>
      </c>
    </row>
    <row r="10" spans="1:15" ht="21" customHeight="1">
      <c r="A10" s="703">
        <v>600</v>
      </c>
      <c r="B10" s="703">
        <v>60014</v>
      </c>
      <c r="C10" s="703">
        <v>6059</v>
      </c>
      <c r="D10" s="945"/>
      <c r="E10" s="707">
        <v>142402</v>
      </c>
      <c r="F10" s="707">
        <f>G10+I10+J10+K10+L10+M10</f>
        <v>142054</v>
      </c>
      <c r="G10" s="709">
        <v>219</v>
      </c>
      <c r="H10" s="710"/>
      <c r="I10" s="707">
        <v>50000</v>
      </c>
      <c r="J10" s="705">
        <v>0</v>
      </c>
      <c r="K10" s="705"/>
      <c r="L10" s="705">
        <v>91835</v>
      </c>
      <c r="M10" s="705"/>
      <c r="N10" s="705">
        <v>0</v>
      </c>
      <c r="O10" s="946"/>
    </row>
    <row r="11" spans="1:15" ht="12.75" customHeight="1">
      <c r="A11" s="711"/>
      <c r="B11" s="711"/>
      <c r="C11" s="711"/>
      <c r="D11" s="712" t="s">
        <v>787</v>
      </c>
      <c r="E11" s="713">
        <f>E9+E10</f>
        <v>567066</v>
      </c>
      <c r="F11" s="713">
        <f>F9+F10</f>
        <v>566718</v>
      </c>
      <c r="G11" s="714">
        <f>G9+G10</f>
        <v>219</v>
      </c>
      <c r="H11" s="715"/>
      <c r="I11" s="716">
        <f aca="true" t="shared" si="0" ref="I11:N11">I9+I10</f>
        <v>50000</v>
      </c>
      <c r="J11" s="714">
        <f t="shared" si="0"/>
        <v>424664</v>
      </c>
      <c r="K11" s="714">
        <f>K9+K10</f>
        <v>0</v>
      </c>
      <c r="L11" s="714">
        <f>L9+L10</f>
        <v>91835</v>
      </c>
      <c r="M11" s="714">
        <f>M9+M10</f>
        <v>0</v>
      </c>
      <c r="N11" s="714">
        <f t="shared" si="0"/>
        <v>424664</v>
      </c>
      <c r="O11" s="946"/>
    </row>
    <row r="12" spans="1:15" ht="20.25" customHeight="1">
      <c r="A12" s="717">
        <v>600</v>
      </c>
      <c r="B12" s="717">
        <v>60014</v>
      </c>
      <c r="C12" s="717">
        <v>6058</v>
      </c>
      <c r="D12" s="947" t="s">
        <v>788</v>
      </c>
      <c r="E12" s="718">
        <v>1462868</v>
      </c>
      <c r="F12" s="718">
        <f>G12+I12+J12+K12+M12</f>
        <v>1462459</v>
      </c>
      <c r="G12" s="719">
        <v>0</v>
      </c>
      <c r="H12" s="720">
        <v>0</v>
      </c>
      <c r="I12" s="722">
        <v>0</v>
      </c>
      <c r="J12" s="721">
        <v>1462459</v>
      </c>
      <c r="K12" s="721"/>
      <c r="L12" s="721"/>
      <c r="M12" s="721"/>
      <c r="N12" s="721">
        <v>1462459</v>
      </c>
      <c r="O12" s="946" t="s">
        <v>789</v>
      </c>
    </row>
    <row r="13" spans="1:15" ht="25.5" customHeight="1">
      <c r="A13" s="723">
        <v>600</v>
      </c>
      <c r="B13" s="723">
        <v>60014</v>
      </c>
      <c r="C13" s="723">
        <v>6059</v>
      </c>
      <c r="D13" s="948"/>
      <c r="E13" s="718">
        <v>489666</v>
      </c>
      <c r="F13" s="718">
        <f>G13+I13+J13+K13+L13+M13</f>
        <v>490074</v>
      </c>
      <c r="G13" s="724">
        <v>195909</v>
      </c>
      <c r="H13" s="725"/>
      <c r="I13" s="727">
        <v>30000</v>
      </c>
      <c r="J13" s="726">
        <v>0</v>
      </c>
      <c r="K13" s="726"/>
      <c r="L13" s="726">
        <v>264165</v>
      </c>
      <c r="M13" s="726"/>
      <c r="N13" s="726">
        <v>0</v>
      </c>
      <c r="O13" s="946"/>
    </row>
    <row r="14" spans="1:15" ht="13.5" customHeight="1">
      <c r="A14" s="729"/>
      <c r="B14" s="729"/>
      <c r="C14" s="729"/>
      <c r="D14" s="730" t="s">
        <v>790</v>
      </c>
      <c r="E14" s="731">
        <f>E12+E13</f>
        <v>1952534</v>
      </c>
      <c r="F14" s="731">
        <f>F12+F13</f>
        <v>1952533</v>
      </c>
      <c r="G14" s="732">
        <f>G12+G13</f>
        <v>195909</v>
      </c>
      <c r="H14" s="715"/>
      <c r="I14" s="733">
        <f aca="true" t="shared" si="1" ref="I14:N14">I12+I13</f>
        <v>30000</v>
      </c>
      <c r="J14" s="734">
        <f t="shared" si="1"/>
        <v>1462459</v>
      </c>
      <c r="K14" s="734">
        <f>K12+K13</f>
        <v>0</v>
      </c>
      <c r="L14" s="734">
        <f>L12+L13</f>
        <v>264165</v>
      </c>
      <c r="M14" s="734">
        <f>M12+M13</f>
        <v>0</v>
      </c>
      <c r="N14" s="732">
        <f t="shared" si="1"/>
        <v>1462459</v>
      </c>
      <c r="O14" s="946"/>
    </row>
    <row r="15" spans="1:15" ht="23.25" customHeight="1">
      <c r="A15" s="723">
        <v>600</v>
      </c>
      <c r="B15" s="723">
        <v>60014</v>
      </c>
      <c r="C15" s="723">
        <v>6058</v>
      </c>
      <c r="D15" s="952" t="s">
        <v>791</v>
      </c>
      <c r="E15" s="707">
        <v>0</v>
      </c>
      <c r="F15" s="707"/>
      <c r="G15" s="728">
        <v>0</v>
      </c>
      <c r="H15" s="710"/>
      <c r="I15" s="736">
        <v>0</v>
      </c>
      <c r="J15" s="728">
        <v>0</v>
      </c>
      <c r="K15" s="728"/>
      <c r="L15" s="728"/>
      <c r="M15" s="728"/>
      <c r="N15" s="728">
        <v>0</v>
      </c>
      <c r="O15" s="946" t="s">
        <v>792</v>
      </c>
    </row>
    <row r="16" spans="1:15" ht="42" customHeight="1">
      <c r="A16" s="737">
        <v>600</v>
      </c>
      <c r="B16" s="737">
        <v>60014</v>
      </c>
      <c r="C16" s="737">
        <v>6059</v>
      </c>
      <c r="D16" s="953"/>
      <c r="E16" s="707">
        <v>41480</v>
      </c>
      <c r="F16" s="707">
        <f>G16+I16+J16+K16+M16</f>
        <v>41480</v>
      </c>
      <c r="G16" s="728">
        <v>41480</v>
      </c>
      <c r="H16" s="710"/>
      <c r="I16" s="736">
        <v>0</v>
      </c>
      <c r="J16" s="728">
        <v>0</v>
      </c>
      <c r="K16" s="728"/>
      <c r="L16" s="728"/>
      <c r="M16" s="728"/>
      <c r="N16" s="728">
        <v>0</v>
      </c>
      <c r="O16" s="946"/>
    </row>
    <row r="17" spans="1:15" ht="21" customHeight="1">
      <c r="A17" s="729"/>
      <c r="B17" s="729"/>
      <c r="C17" s="729"/>
      <c r="D17" s="730" t="s">
        <v>793</v>
      </c>
      <c r="E17" s="731">
        <f>E15+E16</f>
        <v>41480</v>
      </c>
      <c r="F17" s="731">
        <f>F15+F16</f>
        <v>41480</v>
      </c>
      <c r="G17" s="732">
        <f>G15+G16</f>
        <v>41480</v>
      </c>
      <c r="H17" s="715"/>
      <c r="I17" s="733">
        <f aca="true" t="shared" si="2" ref="I17:N17">I15+I16</f>
        <v>0</v>
      </c>
      <c r="J17" s="734">
        <f t="shared" si="2"/>
        <v>0</v>
      </c>
      <c r="K17" s="734">
        <f>K15+K16</f>
        <v>0</v>
      </c>
      <c r="L17" s="734">
        <f>L15+L16</f>
        <v>0</v>
      </c>
      <c r="M17" s="734">
        <f>M15+M16</f>
        <v>0</v>
      </c>
      <c r="N17" s="732">
        <f t="shared" si="2"/>
        <v>0</v>
      </c>
      <c r="O17" s="946"/>
    </row>
    <row r="18" spans="1:15" ht="23.25" customHeight="1">
      <c r="A18" s="723">
        <v>851</v>
      </c>
      <c r="B18" s="723">
        <v>85111</v>
      </c>
      <c r="C18" s="723">
        <v>6058</v>
      </c>
      <c r="D18" s="954" t="s">
        <v>794</v>
      </c>
      <c r="E18" s="707">
        <v>0</v>
      </c>
      <c r="F18" s="707"/>
      <c r="G18" s="735">
        <v>0</v>
      </c>
      <c r="H18" s="710"/>
      <c r="I18" s="736">
        <v>0</v>
      </c>
      <c r="J18" s="728">
        <v>0</v>
      </c>
      <c r="K18" s="728"/>
      <c r="L18" s="728"/>
      <c r="M18" s="728"/>
      <c r="N18" s="728">
        <v>0</v>
      </c>
      <c r="O18" s="956" t="s">
        <v>795</v>
      </c>
    </row>
    <row r="19" spans="1:15" ht="22.5" customHeight="1">
      <c r="A19" s="723">
        <v>851</v>
      </c>
      <c r="B19" s="723">
        <v>85111</v>
      </c>
      <c r="C19" s="723">
        <v>6059</v>
      </c>
      <c r="D19" s="955"/>
      <c r="E19" s="707">
        <v>101860</v>
      </c>
      <c r="F19" s="707">
        <f>G19+I19+J19+L19+M19</f>
        <v>101860</v>
      </c>
      <c r="G19" s="728">
        <v>101860</v>
      </c>
      <c r="H19" s="710"/>
      <c r="I19" s="736">
        <v>0</v>
      </c>
      <c r="J19" s="728">
        <v>0</v>
      </c>
      <c r="K19" s="728"/>
      <c r="L19" s="728"/>
      <c r="M19" s="728"/>
      <c r="N19" s="728">
        <v>0</v>
      </c>
      <c r="O19" s="957"/>
    </row>
    <row r="20" spans="1:15" ht="18" customHeight="1">
      <c r="A20" s="723"/>
      <c r="B20" s="723"/>
      <c r="C20" s="723"/>
      <c r="D20" s="738" t="s">
        <v>796</v>
      </c>
      <c r="E20" s="731">
        <f>E18+E19</f>
        <v>101860</v>
      </c>
      <c r="F20" s="731">
        <f>F18+F19</f>
        <v>101860</v>
      </c>
      <c r="G20" s="732">
        <f>G18+G19</f>
        <v>101860</v>
      </c>
      <c r="H20" s="739"/>
      <c r="I20" s="733">
        <f aca="true" t="shared" si="3" ref="I20:N20">I18+I19</f>
        <v>0</v>
      </c>
      <c r="J20" s="734">
        <f t="shared" si="3"/>
        <v>0</v>
      </c>
      <c r="K20" s="734">
        <f>K18+K19</f>
        <v>0</v>
      </c>
      <c r="L20" s="734">
        <f>L18+L19</f>
        <v>0</v>
      </c>
      <c r="M20" s="734">
        <f>M18+M19</f>
        <v>0</v>
      </c>
      <c r="N20" s="732">
        <f t="shared" si="3"/>
        <v>0</v>
      </c>
      <c r="O20" s="958"/>
    </row>
    <row r="21" spans="1:15" ht="66" customHeight="1">
      <c r="A21" s="737">
        <v>600</v>
      </c>
      <c r="B21" s="737">
        <v>60014</v>
      </c>
      <c r="C21" s="737">
        <v>6050</v>
      </c>
      <c r="D21" s="696" t="s">
        <v>797</v>
      </c>
      <c r="E21" s="740">
        <v>3533248</v>
      </c>
      <c r="F21" s="740">
        <f>G21+I21+J21+K21+L21+M21</f>
        <v>3533248</v>
      </c>
      <c r="G21" s="735">
        <v>90129</v>
      </c>
      <c r="H21" s="710"/>
      <c r="I21" s="741">
        <v>90128</v>
      </c>
      <c r="J21" s="735"/>
      <c r="K21" s="735">
        <v>703055</v>
      </c>
      <c r="L21" s="735"/>
      <c r="M21" s="735">
        <v>2649936</v>
      </c>
      <c r="N21" s="735"/>
      <c r="O21" s="760" t="s">
        <v>798</v>
      </c>
    </row>
    <row r="22" spans="1:16" ht="24" customHeight="1">
      <c r="A22" s="742">
        <v>851</v>
      </c>
      <c r="B22" s="742">
        <v>85111</v>
      </c>
      <c r="C22" s="742">
        <v>6050</v>
      </c>
      <c r="D22" s="708" t="s">
        <v>799</v>
      </c>
      <c r="E22" s="740">
        <v>51518</v>
      </c>
      <c r="F22" s="743">
        <f>G22+I22+L22+M22</f>
        <v>51518</v>
      </c>
      <c r="G22" s="728">
        <v>51518</v>
      </c>
      <c r="H22" s="728">
        <v>0</v>
      </c>
      <c r="I22" s="736">
        <v>0</v>
      </c>
      <c r="J22" s="728">
        <v>0</v>
      </c>
      <c r="K22" s="728"/>
      <c r="L22" s="728"/>
      <c r="M22" s="728"/>
      <c r="N22" s="728">
        <v>0</v>
      </c>
      <c r="O22" s="761" t="s">
        <v>842</v>
      </c>
      <c r="P22" s="744"/>
    </row>
    <row r="23" spans="1:16" ht="16.5" customHeight="1">
      <c r="A23" s="742">
        <v>854</v>
      </c>
      <c r="B23" s="742">
        <v>85410</v>
      </c>
      <c r="C23" s="742">
        <v>6051</v>
      </c>
      <c r="D23" s="944" t="s">
        <v>800</v>
      </c>
      <c r="E23" s="740">
        <v>0</v>
      </c>
      <c r="F23" s="743">
        <v>0</v>
      </c>
      <c r="G23" s="728"/>
      <c r="H23" s="728"/>
      <c r="I23" s="736"/>
      <c r="J23" s="728"/>
      <c r="K23" s="728"/>
      <c r="L23" s="728"/>
      <c r="M23" s="728"/>
      <c r="N23" s="728"/>
      <c r="O23" s="965" t="s">
        <v>842</v>
      </c>
      <c r="P23" s="744"/>
    </row>
    <row r="24" spans="1:16" ht="21" customHeight="1">
      <c r="A24" s="742">
        <v>854</v>
      </c>
      <c r="B24" s="742">
        <v>85410</v>
      </c>
      <c r="C24" s="742">
        <v>6052</v>
      </c>
      <c r="D24" s="945"/>
      <c r="E24" s="740">
        <v>6100</v>
      </c>
      <c r="F24" s="743">
        <f>G24+I24+J24+K24+L24+M24</f>
        <v>6100</v>
      </c>
      <c r="G24" s="728">
        <v>6100</v>
      </c>
      <c r="H24" s="728"/>
      <c r="I24" s="736"/>
      <c r="J24" s="728"/>
      <c r="K24" s="728"/>
      <c r="L24" s="728"/>
      <c r="M24" s="728"/>
      <c r="N24" s="728"/>
      <c r="O24" s="966"/>
      <c r="P24" s="744"/>
    </row>
    <row r="25" spans="1:16" ht="10.5" customHeight="1">
      <c r="A25" s="742"/>
      <c r="B25" s="742"/>
      <c r="C25" s="742"/>
      <c r="D25" s="745" t="s">
        <v>801</v>
      </c>
      <c r="E25" s="740">
        <f>E23+E24</f>
        <v>6100</v>
      </c>
      <c r="F25" s="743">
        <f>F23+F24</f>
        <v>6100</v>
      </c>
      <c r="G25" s="728">
        <f>G23+G24</f>
        <v>6100</v>
      </c>
      <c r="H25" s="728"/>
      <c r="I25" s="736"/>
      <c r="J25" s="728"/>
      <c r="K25" s="728"/>
      <c r="L25" s="728"/>
      <c r="M25" s="728"/>
      <c r="N25" s="728"/>
      <c r="O25" s="967"/>
      <c r="P25" s="744"/>
    </row>
    <row r="26" spans="1:16" ht="24" customHeight="1">
      <c r="A26" s="742">
        <v>600</v>
      </c>
      <c r="B26" s="742">
        <v>60014</v>
      </c>
      <c r="C26" s="742">
        <v>6610</v>
      </c>
      <c r="D26" s="745" t="s">
        <v>802</v>
      </c>
      <c r="E26" s="741">
        <v>8880</v>
      </c>
      <c r="F26" s="743">
        <f>G26</f>
        <v>8880</v>
      </c>
      <c r="G26" s="728">
        <v>8880</v>
      </c>
      <c r="H26" s="728"/>
      <c r="I26" s="736"/>
      <c r="J26" s="728"/>
      <c r="K26" s="728"/>
      <c r="L26" s="728"/>
      <c r="M26" s="728"/>
      <c r="N26" s="728"/>
      <c r="O26" s="761" t="s">
        <v>842</v>
      </c>
      <c r="P26" s="744"/>
    </row>
    <row r="27" spans="1:15" ht="18.75" customHeight="1">
      <c r="A27" s="949" t="s">
        <v>803</v>
      </c>
      <c r="B27" s="950"/>
      <c r="C27" s="950"/>
      <c r="D27" s="951"/>
      <c r="E27" s="731">
        <f>E11+E14+E17+E20+E21+E22+E25+E26</f>
        <v>6262686</v>
      </c>
      <c r="F27" s="731">
        <f aca="true" t="shared" si="4" ref="F27:N27">F11+F14+F17+F20+F21+F22+F25+F26</f>
        <v>6262337</v>
      </c>
      <c r="G27" s="731">
        <f t="shared" si="4"/>
        <v>496095</v>
      </c>
      <c r="H27" s="731">
        <f t="shared" si="4"/>
        <v>0</v>
      </c>
      <c r="I27" s="731">
        <f t="shared" si="4"/>
        <v>170128</v>
      </c>
      <c r="J27" s="731">
        <f t="shared" si="4"/>
        <v>1887123</v>
      </c>
      <c r="K27" s="731">
        <f t="shared" si="4"/>
        <v>703055</v>
      </c>
      <c r="L27" s="731">
        <f t="shared" si="4"/>
        <v>356000</v>
      </c>
      <c r="M27" s="731">
        <f t="shared" si="4"/>
        <v>2649936</v>
      </c>
      <c r="N27" s="731">
        <f t="shared" si="4"/>
        <v>1887123</v>
      </c>
      <c r="O27" s="734" t="s">
        <v>804</v>
      </c>
    </row>
    <row r="28" spans="13:15" ht="12.75" customHeight="1">
      <c r="M28" s="934"/>
      <c r="N28" s="934"/>
      <c r="O28" s="934"/>
    </row>
    <row r="30" ht="9.75" hidden="1"/>
    <row r="34" ht="12" customHeight="1"/>
    <row r="35" ht="9.75" hidden="1"/>
    <row r="36" ht="18" customHeight="1"/>
  </sheetData>
  <mergeCells count="24">
    <mergeCell ref="F4:F6"/>
    <mergeCell ref="G4:N4"/>
    <mergeCell ref="G5:M5"/>
    <mergeCell ref="O23:O25"/>
    <mergeCell ref="D23:D24"/>
    <mergeCell ref="A27:D27"/>
    <mergeCell ref="D15:D16"/>
    <mergeCell ref="O15:O17"/>
    <mergeCell ref="D18:D19"/>
    <mergeCell ref="O18:O20"/>
    <mergeCell ref="D9:D10"/>
    <mergeCell ref="O9:O11"/>
    <mergeCell ref="D12:D13"/>
    <mergeCell ref="O12:O14"/>
    <mergeCell ref="M28:O28"/>
    <mergeCell ref="M1:N1"/>
    <mergeCell ref="I2:O2"/>
    <mergeCell ref="A3:O3"/>
    <mergeCell ref="A4:A6"/>
    <mergeCell ref="B4:B6"/>
    <mergeCell ref="C4:C6"/>
    <mergeCell ref="D4:D6"/>
    <mergeCell ref="E4:E6"/>
    <mergeCell ref="O4:O6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N17"/>
  <sheetViews>
    <sheetView workbookViewId="0" topLeftCell="A1">
      <selection activeCell="N10" sqref="N10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8.625" style="0" customWidth="1"/>
    <col min="4" max="4" width="8.875" style="0" hidden="1" customWidth="1"/>
    <col min="5" max="5" width="8.625" style="0" customWidth="1"/>
    <col min="6" max="6" width="0.12890625" style="0" hidden="1" customWidth="1"/>
    <col min="7" max="7" width="7.875" style="0" customWidth="1"/>
    <col min="8" max="8" width="8.875" style="0" customWidth="1"/>
    <col min="9" max="9" width="8.125" style="0" customWidth="1"/>
    <col min="10" max="11" width="0.12890625" style="0" hidden="1" customWidth="1"/>
    <col min="12" max="12" width="8.125" style="0" customWidth="1"/>
    <col min="13" max="13" width="7.75390625" style="0" customWidth="1"/>
    <col min="14" max="14" width="10.375" style="0" customWidth="1"/>
    <col min="15" max="15" width="9.00390625" style="0" customWidth="1"/>
  </cols>
  <sheetData>
    <row r="1" spans="5:14" ht="12.75">
      <c r="E1" s="981"/>
      <c r="F1" s="981"/>
      <c r="G1" s="981"/>
      <c r="H1" s="981"/>
      <c r="I1" s="981"/>
      <c r="J1" s="981"/>
      <c r="K1" s="981"/>
      <c r="L1" s="981"/>
      <c r="M1" s="981"/>
      <c r="N1" s="981"/>
    </row>
    <row r="2" spans="3:14" ht="21" customHeight="1">
      <c r="C2" s="982" t="s">
        <v>557</v>
      </c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</row>
    <row r="3" spans="3:14" ht="12.75">
      <c r="C3" s="983"/>
      <c r="D3" s="983"/>
      <c r="E3" s="983"/>
      <c r="F3" s="983"/>
      <c r="G3" s="983"/>
      <c r="H3" s="983"/>
      <c r="I3" s="983"/>
      <c r="J3" s="983"/>
      <c r="K3" s="983"/>
      <c r="L3" s="983"/>
      <c r="M3" s="983"/>
      <c r="N3" s="983"/>
    </row>
    <row r="4" spans="1:14" ht="54" customHeight="1">
      <c r="A4" s="984" t="s">
        <v>715</v>
      </c>
      <c r="B4" s="984"/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</row>
    <row r="5" spans="1:14" ht="13.5" thickBo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ht="39" customHeight="1">
      <c r="A6" s="977" t="s">
        <v>558</v>
      </c>
      <c r="B6" s="979" t="s">
        <v>559</v>
      </c>
      <c r="C6" s="971" t="s">
        <v>560</v>
      </c>
      <c r="D6" s="972"/>
      <c r="E6" s="971" t="s">
        <v>713</v>
      </c>
      <c r="F6" s="972"/>
      <c r="G6" s="969" t="s">
        <v>501</v>
      </c>
      <c r="H6" s="969" t="s">
        <v>207</v>
      </c>
      <c r="I6" s="971" t="s">
        <v>714</v>
      </c>
      <c r="J6" s="972"/>
      <c r="K6" s="769"/>
      <c r="L6" s="969" t="s">
        <v>501</v>
      </c>
      <c r="M6" s="969" t="s">
        <v>207</v>
      </c>
      <c r="N6" s="975" t="s">
        <v>561</v>
      </c>
    </row>
    <row r="7" spans="1:14" ht="37.5" customHeight="1" thickBot="1">
      <c r="A7" s="978"/>
      <c r="B7" s="980"/>
      <c r="C7" s="973"/>
      <c r="D7" s="974"/>
      <c r="E7" s="973"/>
      <c r="F7" s="974"/>
      <c r="G7" s="970"/>
      <c r="H7" s="970"/>
      <c r="I7" s="973"/>
      <c r="J7" s="974"/>
      <c r="K7" s="770"/>
      <c r="L7" s="970"/>
      <c r="M7" s="970"/>
      <c r="N7" s="976"/>
    </row>
    <row r="8" spans="1:14" ht="14.25" customHeight="1" thickBot="1">
      <c r="A8" s="762">
        <v>1</v>
      </c>
      <c r="B8" s="763">
        <v>2</v>
      </c>
      <c r="C8" s="764">
        <v>3</v>
      </c>
      <c r="D8" s="765"/>
      <c r="E8" s="766">
        <v>4</v>
      </c>
      <c r="F8" s="767"/>
      <c r="G8" s="763">
        <v>5</v>
      </c>
      <c r="H8" s="763">
        <v>6</v>
      </c>
      <c r="I8" s="763">
        <v>7</v>
      </c>
      <c r="J8" s="763"/>
      <c r="K8" s="763"/>
      <c r="L8" s="763">
        <v>8</v>
      </c>
      <c r="M8" s="763">
        <v>9</v>
      </c>
      <c r="N8" s="768">
        <v>10</v>
      </c>
    </row>
    <row r="9" spans="1:14" ht="25.5">
      <c r="A9" s="542" t="s">
        <v>525</v>
      </c>
      <c r="B9" s="540" t="s">
        <v>843</v>
      </c>
      <c r="C9" s="542">
        <f>C10+C11+C12+C13+C14</f>
        <v>0</v>
      </c>
      <c r="D9" s="542" t="e">
        <f>#REF!+D10+#REF!+#REF!+D11+#REF!+D12+#REF!+D13+#REF!+D14+#REF!+D15</f>
        <v>#REF!</v>
      </c>
      <c r="E9" s="542">
        <f>E10+E11+E12+E13+E14+E15</f>
        <v>372232</v>
      </c>
      <c r="F9" s="542">
        <f>F10+F11+F12+F13+F14+F15</f>
        <v>237250</v>
      </c>
      <c r="G9" s="542">
        <f>G10+G11+G12+G13+G14+G15</f>
        <v>366617</v>
      </c>
      <c r="H9" s="543">
        <v>0</v>
      </c>
      <c r="I9" s="542">
        <f>I10+I11+I12+I13+I14+I15</f>
        <v>327521</v>
      </c>
      <c r="J9" s="542">
        <f>J10+J11+J12+J13+J14+J15</f>
        <v>242884</v>
      </c>
      <c r="K9" s="542">
        <f>K10+K11+K12+K13+K14+K15</f>
        <v>0</v>
      </c>
      <c r="L9" s="542">
        <f>L10+L11+L12+L13+L14+L15</f>
        <v>326737</v>
      </c>
      <c r="M9" s="543">
        <v>0</v>
      </c>
      <c r="N9" s="542">
        <f>N10+N11+N12+N13+N14+N15</f>
        <v>39880</v>
      </c>
    </row>
    <row r="10" spans="1:14" ht="25.5">
      <c r="A10" s="33" t="s">
        <v>22</v>
      </c>
      <c r="B10" s="72" t="s">
        <v>563</v>
      </c>
      <c r="C10" s="33">
        <v>0</v>
      </c>
      <c r="D10" s="33">
        <v>2200</v>
      </c>
      <c r="E10" s="33">
        <v>114110</v>
      </c>
      <c r="F10" s="33">
        <v>99450</v>
      </c>
      <c r="G10" s="33">
        <v>114110</v>
      </c>
      <c r="H10" s="45">
        <v>0</v>
      </c>
      <c r="I10" s="33">
        <v>108062</v>
      </c>
      <c r="J10" s="33">
        <v>100550</v>
      </c>
      <c r="K10" s="33"/>
      <c r="L10" s="33">
        <v>108062</v>
      </c>
      <c r="M10" s="45">
        <v>0</v>
      </c>
      <c r="N10" s="33">
        <f aca="true" t="shared" si="0" ref="N10:N15">C10+G10-L10</f>
        <v>6048</v>
      </c>
    </row>
    <row r="11" spans="1:14" ht="25.5">
      <c r="A11" s="33" t="s">
        <v>37</v>
      </c>
      <c r="B11" s="72" t="s">
        <v>564</v>
      </c>
      <c r="C11" s="33">
        <v>0</v>
      </c>
      <c r="D11" s="33">
        <v>6009</v>
      </c>
      <c r="E11" s="33">
        <v>107602</v>
      </c>
      <c r="F11" s="33">
        <v>101000</v>
      </c>
      <c r="G11" s="33">
        <v>107863</v>
      </c>
      <c r="H11" s="45">
        <v>0</v>
      </c>
      <c r="I11" s="33">
        <v>102174</v>
      </c>
      <c r="J11" s="33">
        <v>101000</v>
      </c>
      <c r="K11" s="33"/>
      <c r="L11" s="33">
        <v>102203</v>
      </c>
      <c r="M11" s="45">
        <v>0</v>
      </c>
      <c r="N11" s="33">
        <f t="shared" si="0"/>
        <v>5660</v>
      </c>
    </row>
    <row r="12" spans="1:14" ht="38.25" customHeight="1">
      <c r="A12" s="33" t="s">
        <v>44</v>
      </c>
      <c r="B12" s="72" t="s">
        <v>565</v>
      </c>
      <c r="C12" s="33">
        <v>0</v>
      </c>
      <c r="D12" s="33">
        <v>0</v>
      </c>
      <c r="E12" s="33">
        <v>10213</v>
      </c>
      <c r="F12" s="33">
        <v>8100</v>
      </c>
      <c r="G12" s="33">
        <v>10215</v>
      </c>
      <c r="H12" s="45">
        <v>0</v>
      </c>
      <c r="I12" s="33">
        <v>4693</v>
      </c>
      <c r="J12" s="33">
        <v>8100</v>
      </c>
      <c r="K12" s="33"/>
      <c r="L12" s="33">
        <v>4694</v>
      </c>
      <c r="M12" s="45">
        <v>0</v>
      </c>
      <c r="N12" s="33">
        <f>C12+G12-L12</f>
        <v>5521</v>
      </c>
    </row>
    <row r="13" spans="1:14" ht="20.25" customHeight="1">
      <c r="A13" s="33" t="s">
        <v>62</v>
      </c>
      <c r="B13" s="72" t="s">
        <v>566</v>
      </c>
      <c r="C13" s="33">
        <v>0</v>
      </c>
      <c r="D13" s="33">
        <v>4534</v>
      </c>
      <c r="E13" s="33">
        <v>28333</v>
      </c>
      <c r="F13" s="33">
        <v>5200</v>
      </c>
      <c r="G13" s="33">
        <v>27806</v>
      </c>
      <c r="H13" s="45">
        <v>0</v>
      </c>
      <c r="I13" s="33">
        <v>23618</v>
      </c>
      <c r="J13" s="33">
        <v>9734</v>
      </c>
      <c r="K13" s="33"/>
      <c r="L13" s="33">
        <v>23580</v>
      </c>
      <c r="M13" s="45">
        <v>0</v>
      </c>
      <c r="N13" s="33">
        <f t="shared" si="0"/>
        <v>4226</v>
      </c>
    </row>
    <row r="14" spans="1:14" ht="28.5" customHeight="1">
      <c r="A14" s="33" t="s">
        <v>71</v>
      </c>
      <c r="B14" s="72" t="s">
        <v>556</v>
      </c>
      <c r="C14" s="33">
        <v>0</v>
      </c>
      <c r="D14" s="33">
        <v>0</v>
      </c>
      <c r="E14" s="33">
        <v>110000</v>
      </c>
      <c r="F14" s="33">
        <v>23500</v>
      </c>
      <c r="G14" s="33">
        <v>104649</v>
      </c>
      <c r="H14" s="45">
        <v>0</v>
      </c>
      <c r="I14" s="33">
        <v>87000</v>
      </c>
      <c r="J14" s="33">
        <v>23500</v>
      </c>
      <c r="K14" s="33"/>
      <c r="L14" s="33">
        <v>86224</v>
      </c>
      <c r="M14" s="45">
        <v>0</v>
      </c>
      <c r="N14" s="33">
        <f t="shared" si="0"/>
        <v>18425</v>
      </c>
    </row>
    <row r="15" spans="1:14" ht="26.25" customHeight="1">
      <c r="A15" s="31" t="s">
        <v>77</v>
      </c>
      <c r="B15" s="72" t="s">
        <v>567</v>
      </c>
      <c r="C15" s="33">
        <v>0</v>
      </c>
      <c r="D15" s="33">
        <v>0</v>
      </c>
      <c r="E15" s="33">
        <v>1974</v>
      </c>
      <c r="F15" s="33">
        <v>0</v>
      </c>
      <c r="G15" s="33">
        <v>1974</v>
      </c>
      <c r="H15" s="45">
        <v>0</v>
      </c>
      <c r="I15" s="33">
        <v>1974</v>
      </c>
      <c r="J15" s="33">
        <v>0</v>
      </c>
      <c r="K15" s="33"/>
      <c r="L15" s="33">
        <v>1974</v>
      </c>
      <c r="M15" s="45">
        <v>0</v>
      </c>
      <c r="N15" s="33">
        <f t="shared" si="0"/>
        <v>0</v>
      </c>
    </row>
    <row r="16" ht="12.75">
      <c r="L16" t="s">
        <v>769</v>
      </c>
    </row>
    <row r="17" spans="1:14" ht="37.5" customHeight="1">
      <c r="A17" s="968" t="s">
        <v>770</v>
      </c>
      <c r="B17" s="968"/>
      <c r="C17" s="968"/>
      <c r="D17" s="968"/>
      <c r="E17" s="968"/>
      <c r="F17" s="968"/>
      <c r="G17" s="968"/>
      <c r="H17" s="968"/>
      <c r="I17" s="968"/>
      <c r="J17" s="968"/>
      <c r="K17" s="968"/>
      <c r="L17" s="968"/>
      <c r="M17" s="968"/>
      <c r="N17" s="968"/>
    </row>
  </sheetData>
  <mergeCells count="15">
    <mergeCell ref="C6:D7"/>
    <mergeCell ref="E1:N1"/>
    <mergeCell ref="C2:N2"/>
    <mergeCell ref="C3:N3"/>
    <mergeCell ref="A4:N4"/>
    <mergeCell ref="A17:N17"/>
    <mergeCell ref="G6:G7"/>
    <mergeCell ref="H6:H7"/>
    <mergeCell ref="I6:J7"/>
    <mergeCell ref="L6:L7"/>
    <mergeCell ref="M6:M7"/>
    <mergeCell ref="N6:N7"/>
    <mergeCell ref="E6:F7"/>
    <mergeCell ref="A6:A7"/>
    <mergeCell ref="B6:B7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halina</cp:lastModifiedBy>
  <cp:lastPrinted>2006-03-02T09:48:09Z</cp:lastPrinted>
  <dcterms:created xsi:type="dcterms:W3CDTF">2006-02-10T10:02:13Z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